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325" windowHeight="9735" tabRatio="570" firstSheet="18" activeTab="21"/>
  </bookViews>
  <sheets>
    <sheet name="01 MACRO" sheetId="23" r:id="rId1"/>
    <sheet name="02.1 PRODUCCION" sheetId="24" r:id="rId2"/>
    <sheet name="02.2 PRODUCCION EMPRESAS" sheetId="25" r:id="rId3"/>
    <sheet name="02.3 PRODUCCION REGIONES" sheetId="10" r:id="rId4"/>
    <sheet name="03.1 EXPORTACIONES MINERAS" sheetId="3" r:id="rId5"/>
    <sheet name="03.2 PARTICP. EXPORTACIONES" sheetId="11" r:id="rId6"/>
    <sheet name="03.3 PRODUCTOS EXPORTACIONES" sheetId="35" r:id="rId7"/>
    <sheet name="04 PRECIOS" sheetId="4" r:id="rId8"/>
    <sheet name="08.1 TRANSF. REGIONES" sheetId="15" r:id="rId9"/>
    <sheet name="08.2 TRANSF. CANON" sheetId="16" r:id="rId10"/>
    <sheet name="08.3 REGALIAS MINERAS" sheetId="17" r:id="rId11"/>
    <sheet name="08.4 DER. VIGENCIA PENALIDAD" sheetId="18" r:id="rId12"/>
    <sheet name="NUEVO REGIMEN TRIBUTARIO" sheetId="33" r:id="rId13"/>
    <sheet name="10 AREAS RESTRINGIDAS" sheetId="19" r:id="rId14"/>
    <sheet name="SALDO IED por SECTOR" sheetId="32" state="hidden" r:id="rId15"/>
    <sheet name="CATASTRO" sheetId="34" r:id="rId16"/>
    <sheet name="INVERSION" sheetId="36" r:id="rId17"/>
    <sheet name="INVERSION - EMPRESAS" sheetId="37" r:id="rId18"/>
    <sheet name="INVERSION REGIONES" sheetId="39" r:id="rId19"/>
    <sheet name="INVERSION - RUBROS" sheetId="38" r:id="rId20"/>
    <sheet name="CARTERA DE PROYECTOS" sheetId="41" r:id="rId21"/>
    <sheet name="EMPLEO" sheetId="42" r:id="rId22"/>
    <sheet name="EMPLEO - REGIONES" sheetId="43" r:id="rId23"/>
  </sheets>
  <externalReferences>
    <externalReference r:id="rId24"/>
    <externalReference r:id="rId25"/>
    <externalReference r:id="rId26"/>
    <externalReference r:id="rId27"/>
  </externalReferences>
  <calcPr calcId="145621"/>
  <pivotCaches>
    <pivotCache cacheId="3" r:id="rId28"/>
    <pivotCache cacheId="4" r:id="rId29"/>
    <pivotCache cacheId="5" r:id="rId30"/>
    <pivotCache cacheId="6" r:id="rId31"/>
  </pivotCaches>
</workbook>
</file>

<file path=xl/calcChain.xml><?xml version="1.0" encoding="utf-8"?>
<calcChain xmlns="http://schemas.openxmlformats.org/spreadsheetml/2006/main">
  <c r="E106" i="10" l="1"/>
  <c r="E79" i="25"/>
  <c r="E91" i="10" l="1"/>
  <c r="E90" i="10"/>
  <c r="E45" i="10" l="1"/>
  <c r="E43" i="10"/>
  <c r="F25" i="37" l="1"/>
  <c r="F14" i="37"/>
  <c r="E24" i="38"/>
  <c r="E23" i="38"/>
  <c r="E22" i="38"/>
  <c r="E72" i="38"/>
  <c r="N62" i="38"/>
  <c r="N60" i="38"/>
  <c r="N59" i="38"/>
  <c r="N56" i="38"/>
  <c r="N53" i="38"/>
  <c r="E63" i="38"/>
  <c r="E57" i="38"/>
  <c r="N37" i="38"/>
  <c r="E43" i="38"/>
  <c r="E41" i="38"/>
  <c r="E37" i="38"/>
  <c r="N17" i="38"/>
  <c r="N24" i="38"/>
  <c r="N19" i="38"/>
  <c r="N21" i="38"/>
  <c r="N14" i="38"/>
  <c r="E18" i="38"/>
  <c r="E83" i="38"/>
  <c r="D82" i="38"/>
  <c r="E82" i="38" s="1"/>
  <c r="C82" i="38"/>
  <c r="E81" i="38"/>
  <c r="E79" i="38"/>
  <c r="E77" i="38"/>
  <c r="E76" i="38"/>
  <c r="E75" i="38"/>
  <c r="E74" i="38"/>
  <c r="E73" i="38"/>
  <c r="N64" i="38"/>
  <c r="E64" i="38"/>
  <c r="N63" i="38"/>
  <c r="M63" i="38"/>
  <c r="L63" i="38"/>
  <c r="D63" i="38"/>
  <c r="C63" i="38"/>
  <c r="E62" i="38"/>
  <c r="N61" i="38"/>
  <c r="E61" i="38"/>
  <c r="E60" i="38"/>
  <c r="E59" i="38"/>
  <c r="N58" i="38"/>
  <c r="E58" i="38"/>
  <c r="N57" i="38"/>
  <c r="E56" i="38"/>
  <c r="N55" i="38"/>
  <c r="E55" i="38"/>
  <c r="N54" i="38"/>
  <c r="E54" i="38"/>
  <c r="E53" i="38"/>
  <c r="N45" i="38"/>
  <c r="E45" i="38"/>
  <c r="M44" i="38"/>
  <c r="L44" i="38"/>
  <c r="N44" i="38" s="1"/>
  <c r="E44" i="38"/>
  <c r="D44" i="38"/>
  <c r="C44" i="38"/>
  <c r="N43" i="38"/>
  <c r="N42" i="38"/>
  <c r="E42" i="38"/>
  <c r="N41" i="38"/>
  <c r="E40" i="38"/>
  <c r="N39" i="38"/>
  <c r="E39" i="38"/>
  <c r="N38" i="38"/>
  <c r="E38" i="38"/>
  <c r="N36" i="38"/>
  <c r="E36" i="38"/>
  <c r="N35" i="38"/>
  <c r="E35" i="38"/>
  <c r="N34" i="38"/>
  <c r="E34" i="38"/>
  <c r="N25" i="38"/>
  <c r="E25" i="38"/>
  <c r="M24" i="38"/>
  <c r="L24" i="38"/>
  <c r="D24" i="38"/>
  <c r="C24" i="38"/>
  <c r="N23" i="38"/>
  <c r="N22" i="38"/>
  <c r="E21" i="38"/>
  <c r="N20" i="38"/>
  <c r="E20" i="38"/>
  <c r="N18" i="38"/>
  <c r="E17" i="38"/>
  <c r="E16" i="38"/>
  <c r="N15" i="38"/>
  <c r="E15" i="38"/>
  <c r="E14" i="38"/>
  <c r="AI50" i="39"/>
  <c r="AH50" i="39"/>
  <c r="AI49" i="39"/>
  <c r="AH49" i="39"/>
  <c r="AI48" i="39"/>
  <c r="AH48" i="39"/>
  <c r="AC9" i="39" s="1"/>
  <c r="AI47" i="39"/>
  <c r="AH47" i="39"/>
  <c r="AI46" i="39"/>
  <c r="AH46" i="39"/>
  <c r="AI45" i="39"/>
  <c r="AO39" i="39" s="1"/>
  <c r="AH45" i="39"/>
  <c r="AI44" i="39"/>
  <c r="AH44" i="39"/>
  <c r="AI43" i="39"/>
  <c r="AH43" i="39"/>
  <c r="AI42" i="39"/>
  <c r="AH42" i="39"/>
  <c r="AI41" i="39"/>
  <c r="AO49" i="39" s="1"/>
  <c r="AH41" i="39"/>
  <c r="DT40" i="39"/>
  <c r="DS40" i="39"/>
  <c r="DR40" i="39"/>
  <c r="DQ40" i="39"/>
  <c r="DP40" i="39"/>
  <c r="DO40" i="39"/>
  <c r="DN40" i="39"/>
  <c r="DM40" i="39"/>
  <c r="DL40" i="39"/>
  <c r="DK40" i="39"/>
  <c r="DJ40" i="39"/>
  <c r="AI40" i="39"/>
  <c r="AH40" i="39"/>
  <c r="AI39" i="39"/>
  <c r="AD7" i="39" s="1"/>
  <c r="AH39" i="39"/>
  <c r="F34" i="39"/>
  <c r="F32" i="39"/>
  <c r="BE31" i="39"/>
  <c r="BD31" i="39"/>
  <c r="AN31" i="39"/>
  <c r="AM31" i="39"/>
  <c r="AD31" i="39"/>
  <c r="AC31" i="39"/>
  <c r="F31" i="39"/>
  <c r="BE30" i="39"/>
  <c r="BD30" i="39"/>
  <c r="AD30" i="39"/>
  <c r="AC30" i="39"/>
  <c r="F30" i="39"/>
  <c r="BE29" i="39"/>
  <c r="BD29" i="39"/>
  <c r="AD29" i="39"/>
  <c r="AC29" i="39"/>
  <c r="F29" i="39"/>
  <c r="BE28" i="39"/>
  <c r="BD28" i="39"/>
  <c r="AD28" i="39"/>
  <c r="AC28" i="39"/>
  <c r="F28" i="39"/>
  <c r="BE27" i="39"/>
  <c r="BD27" i="39"/>
  <c r="AD27" i="39"/>
  <c r="AC27" i="39"/>
  <c r="F27" i="39"/>
  <c r="BE26" i="39"/>
  <c r="BD26" i="39"/>
  <c r="AD26" i="39"/>
  <c r="AC26" i="39"/>
  <c r="F26" i="39"/>
  <c r="BE25" i="39"/>
  <c r="BD25" i="39"/>
  <c r="AD25" i="39"/>
  <c r="AC25" i="39"/>
  <c r="F25" i="39"/>
  <c r="BE24" i="39"/>
  <c r="BD24" i="39"/>
  <c r="AD24" i="39"/>
  <c r="AC24" i="39"/>
  <c r="F24" i="39"/>
  <c r="BE23" i="39"/>
  <c r="BD23" i="39"/>
  <c r="AD23" i="39"/>
  <c r="AC23" i="39"/>
  <c r="F23" i="39"/>
  <c r="BE22" i="39"/>
  <c r="BD22" i="39"/>
  <c r="AD22" i="39"/>
  <c r="AC22" i="39"/>
  <c r="F22" i="39"/>
  <c r="BE21" i="39"/>
  <c r="BD21" i="39"/>
  <c r="AD21" i="39"/>
  <c r="AC21" i="39"/>
  <c r="BE20" i="39"/>
  <c r="BD20" i="39"/>
  <c r="AD20" i="39"/>
  <c r="AC20" i="39"/>
  <c r="F20" i="39"/>
  <c r="BE19" i="39"/>
  <c r="BD19" i="39"/>
  <c r="AC19" i="39"/>
  <c r="F19" i="39"/>
  <c r="BE18" i="39"/>
  <c r="BD18" i="39"/>
  <c r="AD18" i="39"/>
  <c r="AC18" i="39"/>
  <c r="F18" i="39"/>
  <c r="BE17" i="39"/>
  <c r="BD17" i="39"/>
  <c r="AD17" i="39"/>
  <c r="AC17" i="39"/>
  <c r="F17" i="39"/>
  <c r="BE16" i="39"/>
  <c r="BD16" i="39"/>
  <c r="AD16" i="39"/>
  <c r="AC16" i="39"/>
  <c r="F16" i="39"/>
  <c r="BE15" i="39"/>
  <c r="BD15" i="39"/>
  <c r="AD15" i="39"/>
  <c r="AC15" i="39"/>
  <c r="F15" i="39"/>
  <c r="BE14" i="39"/>
  <c r="BD14" i="39"/>
  <c r="AD14" i="39"/>
  <c r="AC14" i="39"/>
  <c r="F14" i="39"/>
  <c r="BE13" i="39"/>
  <c r="BD13" i="39"/>
  <c r="AD13" i="39"/>
  <c r="AC13" i="39"/>
  <c r="F13" i="39"/>
  <c r="BE12" i="39"/>
  <c r="BD12" i="39"/>
  <c r="AD12" i="39"/>
  <c r="AC12" i="39"/>
  <c r="F12" i="39"/>
  <c r="BE11" i="39"/>
  <c r="BD11" i="39"/>
  <c r="AD11" i="39"/>
  <c r="AC11" i="39"/>
  <c r="F11" i="39"/>
  <c r="BE10" i="39"/>
  <c r="BD10" i="39"/>
  <c r="AD10" i="39"/>
  <c r="AC10" i="39"/>
  <c r="F10" i="39"/>
  <c r="BE9" i="39"/>
  <c r="BD9" i="39"/>
  <c r="AD9" i="39"/>
  <c r="BE8" i="39"/>
  <c r="BD8" i="39"/>
  <c r="AC8" i="39"/>
  <c r="AC7" i="39"/>
  <c r="AD6" i="39"/>
  <c r="AC6" i="39"/>
  <c r="E60" i="37"/>
  <c r="D60" i="37"/>
  <c r="E59" i="37"/>
  <c r="D59" i="37"/>
  <c r="F58" i="37"/>
  <c r="E57" i="37"/>
  <c r="F57" i="37" s="1"/>
  <c r="D57" i="37"/>
  <c r="F55" i="37"/>
  <c r="F53" i="37"/>
  <c r="F52" i="37"/>
  <c r="F51" i="37"/>
  <c r="F50" i="37"/>
  <c r="F49" i="37"/>
  <c r="F48" i="37"/>
  <c r="F46" i="37"/>
  <c r="F45" i="37"/>
  <c r="F44" i="37"/>
  <c r="F43" i="37"/>
  <c r="F42" i="37"/>
  <c r="F40" i="37"/>
  <c r="F39" i="37"/>
  <c r="F38" i="37"/>
  <c r="F37" i="37"/>
  <c r="F36" i="37"/>
  <c r="F35" i="37"/>
  <c r="F34" i="37"/>
  <c r="F33" i="37"/>
  <c r="F32" i="37"/>
  <c r="F31" i="37"/>
  <c r="F30" i="37"/>
  <c r="F29" i="37"/>
  <c r="F28" i="37"/>
  <c r="F27" i="37"/>
  <c r="F23" i="37"/>
  <c r="F22" i="37"/>
  <c r="F21" i="37"/>
  <c r="F20" i="37"/>
  <c r="F19" i="37"/>
  <c r="F18" i="37"/>
  <c r="F17" i="37"/>
  <c r="F16" i="37"/>
  <c r="F15" i="37"/>
  <c r="F13" i="37"/>
  <c r="F12" i="37"/>
  <c r="F11" i="37"/>
  <c r="F10" i="37"/>
  <c r="F9" i="37"/>
  <c r="F8" i="37"/>
  <c r="F7" i="37"/>
  <c r="I24" i="36"/>
  <c r="H23" i="36"/>
  <c r="H25" i="36" s="1"/>
  <c r="G23" i="36"/>
  <c r="G25" i="36" s="1"/>
  <c r="F23" i="36"/>
  <c r="F26" i="36" s="1"/>
  <c r="E23" i="36"/>
  <c r="E25" i="36" s="1"/>
  <c r="D23" i="36"/>
  <c r="D26" i="36" s="1"/>
  <c r="C23" i="36"/>
  <c r="C26" i="36" s="1"/>
  <c r="B23" i="36"/>
  <c r="B25" i="36" s="1"/>
  <c r="I21" i="36"/>
  <c r="I20" i="36"/>
  <c r="I19" i="36"/>
  <c r="I18" i="36"/>
  <c r="I17" i="36"/>
  <c r="I11" i="36"/>
  <c r="I10" i="36"/>
  <c r="I9" i="36"/>
  <c r="I8" i="36"/>
  <c r="I7" i="36"/>
  <c r="I6" i="36"/>
  <c r="I5" i="36"/>
  <c r="D35" i="43"/>
  <c r="C35" i="43"/>
  <c r="N45" i="43" s="1"/>
  <c r="D32" i="43"/>
  <c r="D30" i="43"/>
  <c r="D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AB62" i="42"/>
  <c r="AA62" i="42"/>
  <c r="Z62" i="42"/>
  <c r="Y62" i="42"/>
  <c r="X62" i="42"/>
  <c r="W62" i="42"/>
  <c r="V62" i="42"/>
  <c r="U62" i="42"/>
  <c r="T62" i="42"/>
  <c r="S62" i="42"/>
  <c r="R62" i="42"/>
  <c r="Q58" i="42"/>
  <c r="Q50" i="42"/>
  <c r="Q48" i="42"/>
  <c r="E40" i="42"/>
  <c r="D40" i="42"/>
  <c r="C40" i="42"/>
  <c r="Q39" i="42"/>
  <c r="Q38" i="42"/>
  <c r="J38" i="42"/>
  <c r="I38" i="42"/>
  <c r="E38" i="42"/>
  <c r="Q37" i="42"/>
  <c r="Q59" i="42" s="1"/>
  <c r="J37" i="42"/>
  <c r="W36" i="42"/>
  <c r="J36" i="42"/>
  <c r="J35" i="42"/>
  <c r="J34" i="42"/>
  <c r="J33" i="42"/>
  <c r="J32" i="42"/>
  <c r="J31" i="42"/>
  <c r="E31" i="42"/>
  <c r="J30" i="42"/>
  <c r="R29" i="42"/>
  <c r="Q29" i="42"/>
  <c r="J29" i="42"/>
  <c r="Q28" i="42"/>
  <c r="J28" i="42"/>
  <c r="J27" i="42"/>
  <c r="J26" i="42"/>
  <c r="J25" i="42"/>
  <c r="Q24" i="42"/>
  <c r="J24" i="42"/>
  <c r="R23" i="42"/>
  <c r="J23" i="42"/>
  <c r="R22" i="42"/>
  <c r="J22" i="42"/>
  <c r="R21" i="42"/>
  <c r="R24" i="42" s="1"/>
  <c r="J21" i="42"/>
  <c r="J20" i="42"/>
  <c r="J19" i="42"/>
  <c r="J18" i="42"/>
  <c r="J17" i="42"/>
  <c r="J16" i="42"/>
  <c r="J15" i="42"/>
  <c r="U14" i="42"/>
  <c r="T14" i="42"/>
  <c r="S14" i="42"/>
  <c r="R14" i="42"/>
  <c r="Q14" i="42"/>
  <c r="U13" i="42"/>
  <c r="T13" i="42"/>
  <c r="S13" i="42"/>
  <c r="R13" i="42"/>
  <c r="Q13" i="42"/>
  <c r="AO38" i="39" l="1"/>
  <c r="H26" i="36"/>
  <c r="C25" i="36"/>
  <c r="E26" i="36"/>
  <c r="G26" i="36"/>
  <c r="AC33" i="39"/>
  <c r="AD19" i="39"/>
  <c r="AN40" i="39"/>
  <c r="AN62" i="39" s="1"/>
  <c r="AO62" i="39"/>
  <c r="AD8" i="39"/>
  <c r="D25" i="36"/>
  <c r="B26" i="36"/>
  <c r="F25" i="36"/>
  <c r="I23" i="36"/>
  <c r="D31" i="43"/>
  <c r="D33" i="43"/>
  <c r="D34" i="43"/>
  <c r="R28" i="42"/>
  <c r="AD33" i="39" l="1"/>
  <c r="I25" i="36"/>
  <c r="I26" i="36"/>
  <c r="H81" i="33" l="1"/>
  <c r="H30" i="4"/>
  <c r="I30" i="4"/>
  <c r="B5" i="10"/>
  <c r="B5" i="25"/>
  <c r="A33" i="24"/>
  <c r="A24" i="24"/>
  <c r="I25" i="23"/>
  <c r="AA50" i="3" l="1"/>
  <c r="C41" i="19" l="1"/>
  <c r="E17" i="19"/>
  <c r="D19" i="19"/>
  <c r="C19" i="19"/>
  <c r="H80" i="33"/>
  <c r="E58" i="10" l="1"/>
  <c r="I24" i="23"/>
  <c r="H79" i="33" l="1"/>
  <c r="H77" i="33" l="1"/>
  <c r="H78" i="33"/>
  <c r="I23" i="23" l="1"/>
  <c r="E41" i="10" l="1"/>
  <c r="B29" i="24"/>
  <c r="C29" i="24"/>
  <c r="B34" i="15" l="1"/>
  <c r="L24" i="11"/>
  <c r="B26" i="11"/>
  <c r="M69" i="3" l="1"/>
  <c r="M68" i="3"/>
  <c r="M67" i="3"/>
  <c r="M66" i="3"/>
  <c r="M65" i="3"/>
  <c r="M64" i="3"/>
  <c r="M63" i="3"/>
  <c r="M62" i="3"/>
  <c r="M58" i="3"/>
  <c r="M57" i="3"/>
  <c r="M56" i="3"/>
  <c r="M55" i="3"/>
  <c r="M54" i="3"/>
  <c r="M53" i="3"/>
  <c r="M52" i="3"/>
  <c r="M51" i="3"/>
  <c r="M50" i="3"/>
  <c r="M42" i="3"/>
  <c r="I22" i="23"/>
  <c r="M59" i="3" l="1"/>
  <c r="D31" i="19" l="1"/>
  <c r="D32" i="19"/>
  <c r="D33" i="19"/>
  <c r="D34" i="19"/>
  <c r="D35" i="19"/>
  <c r="D36" i="19"/>
  <c r="D37" i="19"/>
  <c r="G89" i="33"/>
  <c r="F89" i="33"/>
  <c r="E89" i="33"/>
  <c r="D89" i="33"/>
  <c r="H89" i="33"/>
  <c r="E14" i="10" l="1"/>
  <c r="E13" i="10"/>
  <c r="E13" i="25"/>
  <c r="I44" i="24" l="1"/>
  <c r="H44" i="24"/>
  <c r="G44" i="24"/>
  <c r="F44" i="24"/>
  <c r="E44" i="24"/>
  <c r="D44" i="24"/>
  <c r="C44" i="24"/>
  <c r="B44" i="24"/>
  <c r="I16" i="24"/>
  <c r="H16" i="24"/>
  <c r="G16" i="24"/>
  <c r="F16" i="24"/>
  <c r="E16" i="24"/>
  <c r="D16" i="24"/>
  <c r="C16" i="24"/>
  <c r="B16" i="24"/>
  <c r="B36" i="25" l="1"/>
  <c r="C36" i="25"/>
  <c r="E42" i="10"/>
  <c r="D69" i="3" l="1"/>
  <c r="D68" i="3"/>
  <c r="D67" i="3"/>
  <c r="D66" i="3"/>
  <c r="D65" i="3"/>
  <c r="D64" i="3"/>
  <c r="D63" i="3"/>
  <c r="D62" i="3"/>
  <c r="D58" i="3"/>
  <c r="D57" i="3"/>
  <c r="D56" i="3"/>
  <c r="D55" i="3"/>
  <c r="D54" i="3"/>
  <c r="D53" i="3"/>
  <c r="D52" i="3"/>
  <c r="D51" i="3"/>
  <c r="D50" i="3"/>
  <c r="D42" i="3"/>
  <c r="E42" i="3"/>
  <c r="E69" i="3"/>
  <c r="E68" i="3"/>
  <c r="E67" i="3"/>
  <c r="E66" i="3"/>
  <c r="E65" i="3"/>
  <c r="E64" i="3"/>
  <c r="E63" i="3"/>
  <c r="E62" i="3"/>
  <c r="E58" i="3"/>
  <c r="E57" i="3"/>
  <c r="E56" i="3"/>
  <c r="E55" i="3"/>
  <c r="E54" i="3"/>
  <c r="E53" i="3"/>
  <c r="E52" i="3"/>
  <c r="E51" i="3"/>
  <c r="E50" i="3"/>
  <c r="E24" i="11"/>
  <c r="F24" i="11"/>
  <c r="G24" i="11"/>
  <c r="H24" i="11"/>
  <c r="I24" i="11"/>
  <c r="J24" i="11"/>
  <c r="K24" i="11"/>
  <c r="K26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D59" i="3" l="1"/>
  <c r="E59" i="3"/>
  <c r="G76" i="33"/>
  <c r="F76" i="33"/>
  <c r="E76" i="33"/>
  <c r="H75" i="33"/>
  <c r="D76" i="33"/>
  <c r="F55" i="3" l="1"/>
  <c r="F56" i="3"/>
  <c r="B95" i="10" l="1"/>
  <c r="C95" i="10"/>
  <c r="C94" i="10" s="1"/>
  <c r="E6" i="19" l="1"/>
  <c r="E7" i="19"/>
  <c r="E8" i="19"/>
  <c r="E9" i="19"/>
  <c r="E10" i="19"/>
  <c r="E11" i="19"/>
  <c r="E12" i="19"/>
  <c r="E13" i="19"/>
  <c r="E14" i="19"/>
  <c r="E15" i="19"/>
  <c r="E16" i="19"/>
  <c r="H74" i="33"/>
  <c r="I46" i="24" l="1"/>
  <c r="I38" i="24"/>
  <c r="I29" i="24"/>
  <c r="E78" i="25"/>
  <c r="E77" i="25"/>
  <c r="E76" i="25"/>
  <c r="C75" i="25"/>
  <c r="B75" i="25"/>
  <c r="E105" i="10"/>
  <c r="E104" i="10"/>
  <c r="E103" i="10"/>
  <c r="E102" i="10"/>
  <c r="C101" i="10"/>
  <c r="B101" i="10"/>
  <c r="H38" i="24"/>
  <c r="G38" i="24"/>
  <c r="F38" i="24"/>
  <c r="E38" i="24"/>
  <c r="D38" i="24"/>
  <c r="C38" i="24"/>
  <c r="B38" i="24"/>
  <c r="H29" i="24"/>
  <c r="G29" i="24"/>
  <c r="F29" i="24"/>
  <c r="E29" i="24"/>
  <c r="D29" i="24"/>
  <c r="D107" i="10" l="1"/>
  <c r="D103" i="10"/>
  <c r="D106" i="10"/>
  <c r="D102" i="10"/>
  <c r="D104" i="10"/>
  <c r="D105" i="10"/>
  <c r="D77" i="25"/>
  <c r="D80" i="25"/>
  <c r="D76" i="25"/>
  <c r="D79" i="25"/>
  <c r="D78" i="25"/>
  <c r="E75" i="25"/>
  <c r="E101" i="10"/>
  <c r="C23" i="25"/>
  <c r="B23" i="25"/>
  <c r="E14" i="25"/>
  <c r="J26" i="11" l="1"/>
  <c r="I26" i="11"/>
  <c r="H26" i="11"/>
  <c r="G26" i="11"/>
  <c r="F26" i="11"/>
  <c r="E26" i="11"/>
  <c r="D26" i="11"/>
  <c r="C26" i="11"/>
  <c r="L26" i="11"/>
  <c r="M26" i="11" s="1"/>
  <c r="B22" i="35"/>
  <c r="B21" i="35"/>
  <c r="B20" i="35"/>
  <c r="A22" i="35"/>
  <c r="A21" i="35"/>
  <c r="A20" i="35"/>
  <c r="F46" i="35"/>
  <c r="F20" i="35"/>
  <c r="B17" i="35"/>
  <c r="B16" i="35"/>
  <c r="B15" i="35"/>
  <c r="B14" i="35"/>
  <c r="B13" i="35"/>
  <c r="B12" i="35"/>
  <c r="B11" i="35"/>
  <c r="B10" i="35"/>
  <c r="B9" i="35"/>
  <c r="B38" i="35" l="1"/>
  <c r="B42" i="35"/>
  <c r="B35" i="35"/>
  <c r="B39" i="35"/>
  <c r="B43" i="35"/>
  <c r="B36" i="35"/>
  <c r="B40" i="35"/>
  <c r="B37" i="35"/>
  <c r="B41" i="35"/>
  <c r="B7" i="35"/>
  <c r="B24" i="35"/>
  <c r="C12" i="35" s="1"/>
  <c r="H72" i="33"/>
  <c r="C17" i="35" l="1"/>
  <c r="C11" i="35"/>
  <c r="C22" i="35"/>
  <c r="C9" i="35"/>
  <c r="C13" i="35"/>
  <c r="C10" i="35"/>
  <c r="C14" i="35"/>
  <c r="C7" i="35"/>
  <c r="C21" i="35"/>
  <c r="C16" i="35"/>
  <c r="C15" i="35"/>
  <c r="C20" i="35"/>
  <c r="B46" i="35" l="1"/>
  <c r="M24" i="11"/>
  <c r="N19" i="11"/>
  <c r="N12" i="11"/>
  <c r="N16" i="11"/>
  <c r="N20" i="11"/>
  <c r="N9" i="11"/>
  <c r="N13" i="11"/>
  <c r="N17" i="11"/>
  <c r="N21" i="11"/>
  <c r="N10" i="11"/>
  <c r="N14" i="11"/>
  <c r="N18" i="11"/>
  <c r="N11" i="11"/>
  <c r="N15" i="11"/>
  <c r="H73" i="33"/>
  <c r="N26" i="11" l="1"/>
  <c r="C37" i="35"/>
  <c r="C43" i="35"/>
  <c r="C40" i="35"/>
  <c r="C36" i="35"/>
  <c r="C35" i="35"/>
  <c r="C38" i="35"/>
  <c r="C41" i="35"/>
  <c r="C39" i="35"/>
  <c r="C42" i="35"/>
  <c r="O12" i="11"/>
  <c r="O13" i="11" s="1"/>
  <c r="H71" i="33" l="1"/>
  <c r="B62" i="25" l="1"/>
  <c r="C62" i="25"/>
  <c r="H70" i="33" l="1"/>
  <c r="AA68" i="3" l="1"/>
  <c r="Z68" i="3"/>
  <c r="R68" i="3"/>
  <c r="Q68" i="3"/>
  <c r="P68" i="3"/>
  <c r="O68" i="3"/>
  <c r="N68" i="3"/>
  <c r="L68" i="3"/>
  <c r="K68" i="3"/>
  <c r="J68" i="3"/>
  <c r="I68" i="3"/>
  <c r="H68" i="3"/>
  <c r="G68" i="3"/>
  <c r="F68" i="3"/>
  <c r="E15" i="25"/>
  <c r="H69" i="33" l="1"/>
  <c r="K8" i="15"/>
  <c r="C92" i="25" l="1"/>
  <c r="C91" i="25" s="1"/>
  <c r="B92" i="25"/>
  <c r="B91" i="25" s="1"/>
  <c r="B97" i="10" s="1"/>
  <c r="C89" i="25"/>
  <c r="C88" i="25" s="1"/>
  <c r="B89" i="25"/>
  <c r="B88" i="25" s="1"/>
  <c r="B94" i="10" s="1"/>
  <c r="C98" i="10"/>
  <c r="C97" i="10" s="1"/>
  <c r="B98" i="10"/>
  <c r="E95" i="10"/>
  <c r="E17" i="10"/>
  <c r="E15" i="10"/>
  <c r="E16" i="10"/>
  <c r="E18" i="10"/>
  <c r="E19" i="10"/>
  <c r="E20" i="10"/>
  <c r="E21" i="10"/>
  <c r="E22" i="10"/>
  <c r="E23" i="10"/>
  <c r="E24" i="10"/>
  <c r="E25" i="10"/>
  <c r="E26" i="10"/>
  <c r="E29" i="10"/>
  <c r="H68" i="33"/>
  <c r="H67" i="33"/>
  <c r="H66" i="33"/>
  <c r="H65" i="33"/>
  <c r="H64" i="33"/>
  <c r="AB40" i="3"/>
  <c r="AB38" i="3"/>
  <c r="AB37" i="3"/>
  <c r="AB36" i="3"/>
  <c r="AB30" i="3"/>
  <c r="AB29" i="3"/>
  <c r="AB28" i="3"/>
  <c r="AB34" i="3"/>
  <c r="AB33" i="3"/>
  <c r="AB32" i="3"/>
  <c r="AB26" i="3"/>
  <c r="AB25" i="3"/>
  <c r="AB24" i="3"/>
  <c r="AB22" i="3"/>
  <c r="AB21" i="3"/>
  <c r="AB20" i="3"/>
  <c r="AB18" i="3"/>
  <c r="AB17" i="3"/>
  <c r="AB16" i="3"/>
  <c r="AB14" i="3"/>
  <c r="AB13" i="3"/>
  <c r="AB12" i="3"/>
  <c r="AB10" i="3"/>
  <c r="AB9" i="3"/>
  <c r="AB8" i="3"/>
  <c r="H76" i="33" l="1"/>
  <c r="E92" i="25"/>
  <c r="E89" i="25"/>
  <c r="E91" i="25"/>
  <c r="E98" i="10"/>
  <c r="E97" i="10"/>
  <c r="E88" i="25" l="1"/>
  <c r="E94" i="10"/>
  <c r="E68" i="25"/>
  <c r="E44" i="10"/>
  <c r="O42" i="3" l="1"/>
  <c r="N42" i="3"/>
  <c r="E77" i="10" l="1"/>
  <c r="E36" i="10"/>
  <c r="E35" i="10"/>
  <c r="E17" i="25"/>
  <c r="E19" i="25"/>
  <c r="I9" i="23"/>
  <c r="I10" i="23"/>
  <c r="E38" i="10" l="1"/>
  <c r="E34" i="10"/>
  <c r="E18" i="25"/>
  <c r="E16" i="25"/>
  <c r="I8" i="23" l="1"/>
  <c r="H61" i="33" l="1"/>
  <c r="H60" i="33"/>
  <c r="H59" i="33"/>
  <c r="H58" i="33"/>
  <c r="H57" i="33"/>
  <c r="H56" i="33"/>
  <c r="H55" i="33"/>
  <c r="H54" i="33"/>
  <c r="H53" i="33"/>
  <c r="H52" i="33"/>
  <c r="H51" i="33"/>
  <c r="H62" i="33"/>
  <c r="G63" i="33"/>
  <c r="F63" i="33"/>
  <c r="E63" i="33"/>
  <c r="D63" i="33"/>
  <c r="H63" i="33" l="1"/>
  <c r="K34" i="18"/>
  <c r="K32" i="15"/>
  <c r="K31" i="15"/>
  <c r="K30" i="15"/>
  <c r="K29" i="15"/>
  <c r="K28" i="15"/>
  <c r="K2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K13" i="15"/>
  <c r="K12" i="15"/>
  <c r="K11" i="15"/>
  <c r="K10" i="15"/>
  <c r="K9" i="15"/>
  <c r="K32" i="16"/>
  <c r="K33" i="17"/>
  <c r="K34" i="15" l="1"/>
  <c r="L69" i="3" l="1"/>
  <c r="L67" i="3"/>
  <c r="L66" i="3"/>
  <c r="L65" i="3"/>
  <c r="L64" i="3"/>
  <c r="L63" i="3"/>
  <c r="L62" i="3"/>
  <c r="L58" i="3"/>
  <c r="L57" i="3"/>
  <c r="L56" i="3"/>
  <c r="L55" i="3"/>
  <c r="L54" i="3"/>
  <c r="L53" i="3"/>
  <c r="L52" i="3"/>
  <c r="L51" i="3"/>
  <c r="L50" i="3"/>
  <c r="L42" i="3"/>
  <c r="L59" i="3" l="1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K69" i="3"/>
  <c r="J69" i="3"/>
  <c r="I69" i="3"/>
  <c r="H69" i="3"/>
  <c r="G69" i="3"/>
  <c r="F69" i="3"/>
  <c r="C69" i="3"/>
  <c r="B69" i="3"/>
  <c r="Y68" i="3"/>
  <c r="X68" i="3"/>
  <c r="W68" i="3"/>
  <c r="V68" i="3"/>
  <c r="U68" i="3"/>
  <c r="T68" i="3"/>
  <c r="S68" i="3"/>
  <c r="C68" i="3"/>
  <c r="B68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K67" i="3"/>
  <c r="J67" i="3"/>
  <c r="I67" i="3"/>
  <c r="H67" i="3"/>
  <c r="G67" i="3"/>
  <c r="F67" i="3"/>
  <c r="C67" i="3"/>
  <c r="B67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K66" i="3"/>
  <c r="J66" i="3"/>
  <c r="I66" i="3"/>
  <c r="H66" i="3"/>
  <c r="G66" i="3"/>
  <c r="F66" i="3"/>
  <c r="C66" i="3"/>
  <c r="B66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K65" i="3"/>
  <c r="J65" i="3"/>
  <c r="I65" i="3"/>
  <c r="H65" i="3"/>
  <c r="G65" i="3"/>
  <c r="F65" i="3"/>
  <c r="C65" i="3"/>
  <c r="B65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K64" i="3"/>
  <c r="J64" i="3"/>
  <c r="I64" i="3"/>
  <c r="H64" i="3"/>
  <c r="G64" i="3"/>
  <c r="F64" i="3"/>
  <c r="C64" i="3"/>
  <c r="B64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K63" i="3"/>
  <c r="J63" i="3"/>
  <c r="I63" i="3"/>
  <c r="H63" i="3"/>
  <c r="G63" i="3"/>
  <c r="F63" i="3"/>
  <c r="C63" i="3"/>
  <c r="B63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K62" i="3"/>
  <c r="J62" i="3"/>
  <c r="I62" i="3"/>
  <c r="H62" i="3"/>
  <c r="G62" i="3"/>
  <c r="F62" i="3"/>
  <c r="C62" i="3"/>
  <c r="B62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K58" i="3"/>
  <c r="J58" i="3"/>
  <c r="I58" i="3"/>
  <c r="H58" i="3"/>
  <c r="G58" i="3"/>
  <c r="F58" i="3"/>
  <c r="C58" i="3"/>
  <c r="B58" i="3"/>
  <c r="A58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K57" i="3"/>
  <c r="J57" i="3"/>
  <c r="I57" i="3"/>
  <c r="H57" i="3"/>
  <c r="G57" i="3"/>
  <c r="F57" i="3"/>
  <c r="C57" i="3"/>
  <c r="B57" i="3"/>
  <c r="A57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K56" i="3"/>
  <c r="J56" i="3"/>
  <c r="I56" i="3"/>
  <c r="H56" i="3"/>
  <c r="G56" i="3"/>
  <c r="C56" i="3"/>
  <c r="B56" i="3"/>
  <c r="A56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K55" i="3"/>
  <c r="J55" i="3"/>
  <c r="I55" i="3"/>
  <c r="H55" i="3"/>
  <c r="G55" i="3"/>
  <c r="C55" i="3"/>
  <c r="B55" i="3"/>
  <c r="A55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K54" i="3"/>
  <c r="J54" i="3"/>
  <c r="I54" i="3"/>
  <c r="H54" i="3"/>
  <c r="G54" i="3"/>
  <c r="F54" i="3"/>
  <c r="C54" i="3"/>
  <c r="B54" i="3"/>
  <c r="A54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K53" i="3"/>
  <c r="J53" i="3"/>
  <c r="I53" i="3"/>
  <c r="H53" i="3"/>
  <c r="G53" i="3"/>
  <c r="F53" i="3"/>
  <c r="C53" i="3"/>
  <c r="B53" i="3"/>
  <c r="A53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K52" i="3"/>
  <c r="J52" i="3"/>
  <c r="I52" i="3"/>
  <c r="H52" i="3"/>
  <c r="G52" i="3"/>
  <c r="F52" i="3"/>
  <c r="C52" i="3"/>
  <c r="B52" i="3"/>
  <c r="A52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K51" i="3"/>
  <c r="J51" i="3"/>
  <c r="I51" i="3"/>
  <c r="H51" i="3"/>
  <c r="G51" i="3"/>
  <c r="F51" i="3"/>
  <c r="C51" i="3"/>
  <c r="B51" i="3"/>
  <c r="A51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K50" i="3"/>
  <c r="J50" i="3"/>
  <c r="I50" i="3"/>
  <c r="H50" i="3"/>
  <c r="G50" i="3"/>
  <c r="F50" i="3"/>
  <c r="C50" i="3"/>
  <c r="B50" i="3"/>
  <c r="A50" i="3"/>
  <c r="X42" i="3"/>
  <c r="E37" i="10"/>
  <c r="W59" i="3" l="1"/>
  <c r="X59" i="3"/>
  <c r="Y59" i="3"/>
  <c r="G59" i="3"/>
  <c r="U59" i="3"/>
  <c r="Q59" i="3"/>
  <c r="K59" i="3"/>
  <c r="V59" i="3"/>
  <c r="T59" i="3"/>
  <c r="S59" i="3"/>
  <c r="H59" i="3"/>
  <c r="Z59" i="3"/>
  <c r="I59" i="3"/>
  <c r="AB50" i="3"/>
  <c r="AA59" i="3"/>
  <c r="AB59" i="3" s="1"/>
  <c r="AB54" i="3"/>
  <c r="AB58" i="3"/>
  <c r="AB63" i="3"/>
  <c r="AB65" i="3"/>
  <c r="AB67" i="3"/>
  <c r="R59" i="3"/>
  <c r="F59" i="3"/>
  <c r="J59" i="3"/>
  <c r="N59" i="3"/>
  <c r="AB53" i="3"/>
  <c r="AB57" i="3"/>
  <c r="AB69" i="3"/>
  <c r="AB52" i="3"/>
  <c r="AB56" i="3"/>
  <c r="AB62" i="3"/>
  <c r="AB64" i="3"/>
  <c r="AB66" i="3"/>
  <c r="AB68" i="3"/>
  <c r="AB51" i="3"/>
  <c r="AB55" i="3"/>
  <c r="P59" i="3"/>
  <c r="O59" i="3"/>
  <c r="H46" i="24"/>
  <c r="G46" i="24"/>
  <c r="F46" i="24"/>
  <c r="E46" i="24"/>
  <c r="D46" i="24"/>
  <c r="C46" i="24"/>
  <c r="B46" i="24"/>
  <c r="E43" i="25" l="1"/>
  <c r="W42" i="3" l="1"/>
  <c r="V42" i="3" l="1"/>
  <c r="Y42" i="3" l="1"/>
  <c r="U42" i="3"/>
  <c r="AA42" i="3" l="1"/>
  <c r="Z42" i="3"/>
  <c r="T42" i="3"/>
  <c r="S42" i="3"/>
  <c r="D41" i="19"/>
  <c r="B28" i="10"/>
  <c r="C28" i="10"/>
  <c r="B61" i="10"/>
  <c r="C61" i="10"/>
  <c r="H49" i="33"/>
  <c r="H48" i="33"/>
  <c r="H47" i="33"/>
  <c r="H46" i="33"/>
  <c r="H45" i="33"/>
  <c r="H44" i="33"/>
  <c r="H43" i="33"/>
  <c r="H42" i="33"/>
  <c r="H41" i="33"/>
  <c r="H40" i="33"/>
  <c r="H39" i="33"/>
  <c r="H38" i="33"/>
  <c r="H36" i="33"/>
  <c r="H35" i="33"/>
  <c r="H34" i="33"/>
  <c r="H33" i="33"/>
  <c r="H32" i="33"/>
  <c r="H31" i="33"/>
  <c r="H30" i="33"/>
  <c r="H29" i="33"/>
  <c r="H28" i="33"/>
  <c r="H27" i="33"/>
  <c r="H26" i="33"/>
  <c r="H25" i="33"/>
  <c r="H23" i="33"/>
  <c r="H22" i="33"/>
  <c r="H21" i="33"/>
  <c r="H20" i="33"/>
  <c r="H19" i="33"/>
  <c r="H18" i="33"/>
  <c r="H17" i="33"/>
  <c r="H16" i="33"/>
  <c r="H15" i="33"/>
  <c r="H14" i="33"/>
  <c r="H13" i="33"/>
  <c r="H12" i="33"/>
  <c r="H10" i="33"/>
  <c r="H9" i="33"/>
  <c r="H8" i="33"/>
  <c r="G50" i="33"/>
  <c r="F50" i="33"/>
  <c r="E50" i="33"/>
  <c r="D50" i="33"/>
  <c r="G37" i="33"/>
  <c r="F37" i="33"/>
  <c r="E37" i="33"/>
  <c r="D37" i="33"/>
  <c r="G11" i="33"/>
  <c r="F11" i="33"/>
  <c r="E11" i="33"/>
  <c r="D11" i="33"/>
  <c r="G24" i="33"/>
  <c r="F24" i="33"/>
  <c r="E24" i="33"/>
  <c r="D24" i="33"/>
  <c r="E33" i="25"/>
  <c r="E19" i="19"/>
  <c r="R42" i="3"/>
  <c r="Q42" i="3"/>
  <c r="P42" i="3"/>
  <c r="E73" i="25"/>
  <c r="E72" i="25"/>
  <c r="E71" i="25"/>
  <c r="E70" i="25"/>
  <c r="E69" i="25"/>
  <c r="E67" i="25"/>
  <c r="E66" i="25"/>
  <c r="E65" i="25"/>
  <c r="E64" i="25"/>
  <c r="E63" i="25"/>
  <c r="D63" i="25"/>
  <c r="E60" i="25"/>
  <c r="E59" i="25"/>
  <c r="E58" i="25"/>
  <c r="E57" i="25"/>
  <c r="E56" i="25"/>
  <c r="E55" i="25"/>
  <c r="E54" i="25"/>
  <c r="E53" i="25"/>
  <c r="E52" i="25"/>
  <c r="E51" i="25"/>
  <c r="E50" i="25"/>
  <c r="C49" i="25"/>
  <c r="D50" i="25" s="1"/>
  <c r="B49" i="25"/>
  <c r="E47" i="25"/>
  <c r="E46" i="25"/>
  <c r="E45" i="25"/>
  <c r="E44" i="25"/>
  <c r="E42" i="25"/>
  <c r="E41" i="25"/>
  <c r="E40" i="25"/>
  <c r="E39" i="25"/>
  <c r="E38" i="25"/>
  <c r="E37" i="25"/>
  <c r="D39" i="25"/>
  <c r="E34" i="25"/>
  <c r="E32" i="25"/>
  <c r="E31" i="25"/>
  <c r="E30" i="25"/>
  <c r="E29" i="25"/>
  <c r="E28" i="25"/>
  <c r="E27" i="25"/>
  <c r="E26" i="25"/>
  <c r="E25" i="25"/>
  <c r="E24" i="25"/>
  <c r="D26" i="25"/>
  <c r="E21" i="25"/>
  <c r="E20" i="25"/>
  <c r="E12" i="25"/>
  <c r="E11" i="25"/>
  <c r="C10" i="25"/>
  <c r="D13" i="25" s="1"/>
  <c r="B10" i="25"/>
  <c r="A41" i="19"/>
  <c r="J32" i="15"/>
  <c r="J31" i="15"/>
  <c r="J30" i="15"/>
  <c r="J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J16" i="15"/>
  <c r="J15" i="15"/>
  <c r="J14" i="15"/>
  <c r="J13" i="15"/>
  <c r="J12" i="15"/>
  <c r="J11" i="15"/>
  <c r="J10" i="15"/>
  <c r="J9" i="15"/>
  <c r="J8" i="15"/>
  <c r="J32" i="16"/>
  <c r="J33" i="17"/>
  <c r="E31" i="10"/>
  <c r="E32" i="10"/>
  <c r="E33" i="10"/>
  <c r="E39" i="10"/>
  <c r="E40" i="10"/>
  <c r="E30" i="10"/>
  <c r="J34" i="18"/>
  <c r="E74" i="10"/>
  <c r="E75" i="10"/>
  <c r="E76" i="10"/>
  <c r="E11" i="10"/>
  <c r="E12" i="10"/>
  <c r="I34" i="18"/>
  <c r="E81" i="10"/>
  <c r="E82" i="10"/>
  <c r="E83" i="10"/>
  <c r="E84" i="10"/>
  <c r="E85" i="10"/>
  <c r="E86" i="10"/>
  <c r="E87" i="10"/>
  <c r="E88" i="10"/>
  <c r="E89" i="10"/>
  <c r="E64" i="10"/>
  <c r="E63" i="10"/>
  <c r="E67" i="10"/>
  <c r="E65" i="10"/>
  <c r="E66" i="10"/>
  <c r="E68" i="10"/>
  <c r="E69" i="10"/>
  <c r="E70" i="10"/>
  <c r="E71" i="10"/>
  <c r="E73" i="10"/>
  <c r="E72" i="10"/>
  <c r="E50" i="10"/>
  <c r="E49" i="10"/>
  <c r="E51" i="10"/>
  <c r="E52" i="10"/>
  <c r="E56" i="10"/>
  <c r="E55" i="10"/>
  <c r="E53" i="10"/>
  <c r="E54" i="10"/>
  <c r="E57" i="10"/>
  <c r="C32" i="32"/>
  <c r="D32" i="32"/>
  <c r="E32" i="32"/>
  <c r="F32" i="32"/>
  <c r="G32" i="32"/>
  <c r="H32" i="32"/>
  <c r="I32" i="32"/>
  <c r="J32" i="32"/>
  <c r="K32" i="32"/>
  <c r="L32" i="32"/>
  <c r="B32" i="32"/>
  <c r="K42" i="3"/>
  <c r="D66" i="10"/>
  <c r="C34" i="15"/>
  <c r="D34" i="15"/>
  <c r="E34" i="15"/>
  <c r="F34" i="15"/>
  <c r="G34" i="15"/>
  <c r="H34" i="15"/>
  <c r="I34" i="15"/>
  <c r="I33" i="17"/>
  <c r="H33" i="17"/>
  <c r="J42" i="3"/>
  <c r="I42" i="3"/>
  <c r="H42" i="3"/>
  <c r="G42" i="3"/>
  <c r="F42" i="3"/>
  <c r="E80" i="10"/>
  <c r="C79" i="10"/>
  <c r="B79" i="10"/>
  <c r="E62" i="10"/>
  <c r="E48" i="10"/>
  <c r="C47" i="10"/>
  <c r="D55" i="10" s="1"/>
  <c r="B47" i="10"/>
  <c r="C10" i="10"/>
  <c r="D22" i="10" s="1"/>
  <c r="B10" i="10"/>
  <c r="I32" i="16"/>
  <c r="H34" i="18"/>
  <c r="G34" i="18"/>
  <c r="F34" i="18"/>
  <c r="E34" i="18"/>
  <c r="D34" i="18"/>
  <c r="C34" i="18"/>
  <c r="B34" i="18"/>
  <c r="G33" i="17"/>
  <c r="F33" i="17"/>
  <c r="E33" i="17"/>
  <c r="D33" i="17"/>
  <c r="C33" i="17"/>
  <c r="B33" i="17"/>
  <c r="G32" i="16"/>
  <c r="F32" i="16"/>
  <c r="E32" i="16"/>
  <c r="D32" i="16"/>
  <c r="C32" i="16"/>
  <c r="B32" i="16"/>
  <c r="H32" i="16"/>
  <c r="D91" i="33" l="1"/>
  <c r="F91" i="33"/>
  <c r="H37" i="33"/>
  <c r="H50" i="33"/>
  <c r="E91" i="33"/>
  <c r="G91" i="33"/>
  <c r="D71" i="10"/>
  <c r="E61" i="10"/>
  <c r="D77" i="10"/>
  <c r="AB42" i="3"/>
  <c r="D57" i="10"/>
  <c r="D80" i="10"/>
  <c r="D64" i="10"/>
  <c r="D56" i="10"/>
  <c r="D48" i="10"/>
  <c r="E28" i="10"/>
  <c r="D50" i="10"/>
  <c r="D49" i="10"/>
  <c r="D53" i="10"/>
  <c r="E47" i="10"/>
  <c r="D39" i="10"/>
  <c r="D45" i="10"/>
  <c r="D44" i="10"/>
  <c r="H24" i="33"/>
  <c r="D84" i="10"/>
  <c r="D58" i="10"/>
  <c r="D52" i="10"/>
  <c r="D46" i="25"/>
  <c r="D15" i="10"/>
  <c r="D73" i="25"/>
  <c r="D65" i="25"/>
  <c r="D66" i="25"/>
  <c r="D54" i="10"/>
  <c r="D40" i="25"/>
  <c r="D47" i="25"/>
  <c r="D38" i="25"/>
  <c r="D45" i="25"/>
  <c r="D31" i="25"/>
  <c r="H11" i="33"/>
  <c r="H91" i="33" s="1"/>
  <c r="D30" i="10"/>
  <c r="D59" i="10"/>
  <c r="D51" i="10"/>
  <c r="D44" i="25"/>
  <c r="D41" i="25"/>
  <c r="E36" i="25"/>
  <c r="D42" i="25"/>
  <c r="D37" i="25"/>
  <c r="E10" i="25"/>
  <c r="D19" i="25"/>
  <c r="D18" i="25"/>
  <c r="D21" i="25"/>
  <c r="D17" i="25"/>
  <c r="D20" i="25"/>
  <c r="D16" i="25"/>
  <c r="D14" i="25"/>
  <c r="D91" i="10"/>
  <c r="D89" i="10"/>
  <c r="D86" i="10"/>
  <c r="E79" i="10"/>
  <c r="D72" i="25"/>
  <c r="D64" i="25"/>
  <c r="D71" i="25"/>
  <c r="D70" i="25"/>
  <c r="D69" i="25"/>
  <c r="D68" i="25"/>
  <c r="D67" i="25"/>
  <c r="E62" i="25"/>
  <c r="D67" i="10"/>
  <c r="D18" i="10"/>
  <c r="D24" i="10"/>
  <c r="D12" i="25"/>
  <c r="D15" i="25"/>
  <c r="D35" i="10"/>
  <c r="D40" i="10"/>
  <c r="D43" i="10"/>
  <c r="D42" i="10"/>
  <c r="D29" i="10"/>
  <c r="D41" i="10"/>
  <c r="D32" i="10"/>
  <c r="E23" i="25"/>
  <c r="D34" i="25"/>
  <c r="D27" i="25"/>
  <c r="D32" i="25"/>
  <c r="D29" i="25"/>
  <c r="D33" i="25"/>
  <c r="D25" i="25"/>
  <c r="D28" i="25"/>
  <c r="D83" i="10"/>
  <c r="D81" i="10"/>
  <c r="D62" i="10"/>
  <c r="D69" i="10"/>
  <c r="D72" i="10"/>
  <c r="D75" i="10"/>
  <c r="D73" i="10"/>
  <c r="D76" i="10"/>
  <c r="D70" i="10"/>
  <c r="D63" i="10"/>
  <c r="D74" i="10"/>
  <c r="D65" i="10"/>
  <c r="D68" i="10"/>
  <c r="D52" i="25"/>
  <c r="D53" i="25"/>
  <c r="D43" i="25"/>
  <c r="D30" i="25"/>
  <c r="D19" i="10"/>
  <c r="D14" i="10"/>
  <c r="D13" i="10"/>
  <c r="D16" i="10"/>
  <c r="D23" i="10"/>
  <c r="E10" i="10"/>
  <c r="D20" i="10"/>
  <c r="D17" i="10"/>
  <c r="D21" i="10"/>
  <c r="D12" i="10"/>
  <c r="D11" i="25"/>
  <c r="J34" i="15"/>
  <c r="D87" i="10"/>
  <c r="D90" i="10"/>
  <c r="D82" i="10"/>
  <c r="D85" i="10"/>
  <c r="D88" i="10"/>
  <c r="D56" i="25"/>
  <c r="D55" i="25"/>
  <c r="D60" i="25"/>
  <c r="D54" i="25"/>
  <c r="D59" i="25"/>
  <c r="D51" i="25"/>
  <c r="E49" i="25"/>
  <c r="D58" i="25"/>
  <c r="D57" i="25"/>
  <c r="D38" i="10"/>
  <c r="D37" i="10"/>
  <c r="D36" i="10"/>
  <c r="D34" i="10"/>
  <c r="D31" i="10"/>
  <c r="D33" i="10"/>
  <c r="D24" i="25"/>
  <c r="D11" i="10"/>
  <c r="D26" i="10"/>
  <c r="D25" i="10"/>
</calcChain>
</file>

<file path=xl/sharedStrings.xml><?xml version="1.0" encoding="utf-8"?>
<sst xmlns="http://schemas.openxmlformats.org/spreadsheetml/2006/main" count="2051" uniqueCount="772">
  <si>
    <t>Año</t>
  </si>
  <si>
    <t xml:space="preserve">PBI   </t>
  </si>
  <si>
    <t>PBI Minero</t>
  </si>
  <si>
    <t>Inflación</t>
  </si>
  <si>
    <t xml:space="preserve">Exportaciones      </t>
  </si>
  <si>
    <t xml:space="preserve">Importaciones </t>
  </si>
  <si>
    <t>Bal. Comercial</t>
  </si>
  <si>
    <t>Fuente: Ministerio de Energía y Minas</t>
  </si>
  <si>
    <t>VOLUMEN DE LA PRODUCCIÓN MINERO METÁLICA, POR PRINCIPALES METALES</t>
  </si>
  <si>
    <t>Cobre</t>
  </si>
  <si>
    <t>Valor</t>
  </si>
  <si>
    <t>(US$MM)</t>
  </si>
  <si>
    <t>Cantidad</t>
  </si>
  <si>
    <t>(Miles Tm)</t>
  </si>
  <si>
    <t>Precio*</t>
  </si>
  <si>
    <t xml:space="preserve"> (Ctvs US$/Lb.)</t>
  </si>
  <si>
    <t>Oro</t>
  </si>
  <si>
    <t>(Miles Oz. Tr.)</t>
  </si>
  <si>
    <t>(US$/Oz Tr.)</t>
  </si>
  <si>
    <t>Zinc</t>
  </si>
  <si>
    <t>(Miles Tm.)</t>
  </si>
  <si>
    <t>(Ctvs US$/Lb.)</t>
  </si>
  <si>
    <t>Plata</t>
  </si>
  <si>
    <t>(Millones Oz. Tr.)</t>
  </si>
  <si>
    <t>(US$/Oz. Tr.)</t>
  </si>
  <si>
    <t>Plomo</t>
  </si>
  <si>
    <t>Estaño</t>
  </si>
  <si>
    <t>Hierro</t>
  </si>
  <si>
    <t>(US$/Tm)</t>
  </si>
  <si>
    <t>Molibdeno</t>
  </si>
  <si>
    <t>TOTAL US$ MM</t>
  </si>
  <si>
    <t>Fuente: Banco Central de Reserva del Perú y SUNAT - Aduanas / Elaborado por MINEM.</t>
  </si>
  <si>
    <t>Otros</t>
  </si>
  <si>
    <t>SOCIEDAD MINERA CERRO VERDE S.A.A.</t>
  </si>
  <si>
    <t>SOCIEDAD MINERA EL BROCAL S.A.A.</t>
  </si>
  <si>
    <t>MINERA CHINALCO PERÚ S.A.</t>
  </si>
  <si>
    <t>COMPAÑIA MINERA ARES S.A.C.</t>
  </si>
  <si>
    <t>MINERA YANACOCHA S.R.L.</t>
  </si>
  <si>
    <t>Var%</t>
  </si>
  <si>
    <t>COMPAÑIA MINERA ANTAMINA S.A.</t>
  </si>
  <si>
    <t>SOUTHERN PERU COPPER CORPORATION SUCURSAL DEL PERU</t>
  </si>
  <si>
    <t>COMPAÑIA MINERA ANTAPACCAY S.A.</t>
  </si>
  <si>
    <t>GOLD FIELDS LA CIMA S.A.</t>
  </si>
  <si>
    <t>OTROS</t>
  </si>
  <si>
    <t>VOLUMEN DE LA PRODUCCIÓN MINERO METÁLICA, EMPRESAS</t>
  </si>
  <si>
    <t>MINERA BARRICK MISQUICHILCA S.A.</t>
  </si>
  <si>
    <t>MADRE DE DIOS</t>
  </si>
  <si>
    <t>CONSORCIO MINERO HORIZONTE S.A.</t>
  </si>
  <si>
    <t>LA ARENA S.A.</t>
  </si>
  <si>
    <t>MINERA AURIFERA RETAMAS S.A.</t>
  </si>
  <si>
    <t>COBRE / TMF</t>
  </si>
  <si>
    <t>VOLCAN COMPAÑÍA MINERA S.A.A.</t>
  </si>
  <si>
    <t>SOCIEDAD MINERA CORONA S.A.</t>
  </si>
  <si>
    <t>CATALINA HUANCA SOCIEDAD MINERA S.A.C.</t>
  </si>
  <si>
    <t>PLOMO / TMF</t>
  </si>
  <si>
    <t>ZINC / TMF</t>
  </si>
  <si>
    <t>VOLUMEN DE LA PRODUCCIÓN MINERO METÁLICA, REGIONES</t>
  </si>
  <si>
    <t>ANCASH</t>
  </si>
  <si>
    <t>AREQUIPA</t>
  </si>
  <si>
    <t>MOQUEGUA</t>
  </si>
  <si>
    <t>CUSCO</t>
  </si>
  <si>
    <t>TACNA</t>
  </si>
  <si>
    <t>PASCO</t>
  </si>
  <si>
    <t>ICA</t>
  </si>
  <si>
    <t>CAJAMARCA</t>
  </si>
  <si>
    <t>LIMA</t>
  </si>
  <si>
    <t>JUNIN</t>
  </si>
  <si>
    <t>HUANCAVELICA</t>
  </si>
  <si>
    <t>PUNO</t>
  </si>
  <si>
    <t>HUANUCO</t>
  </si>
  <si>
    <t>LA LIBERTAD</t>
  </si>
  <si>
    <t>AYACUCHO</t>
  </si>
  <si>
    <t>Part%</t>
  </si>
  <si>
    <t>PRODUCTO / REGION</t>
  </si>
  <si>
    <t>PRODUCTO / EMPRESA</t>
  </si>
  <si>
    <t>TOTAL EXPORTACIONES</t>
  </si>
  <si>
    <t>RUBRO</t>
  </si>
  <si>
    <t>CHINA</t>
  </si>
  <si>
    <t>JAPON</t>
  </si>
  <si>
    <t>ALEMANIA</t>
  </si>
  <si>
    <t>ITALIA</t>
  </si>
  <si>
    <t>BRASIL</t>
  </si>
  <si>
    <t>ESPAÑA</t>
  </si>
  <si>
    <t>Acum. Anual US$ Millones</t>
  </si>
  <si>
    <t>COMPAÑIA MINERA RAURA S.A.</t>
  </si>
  <si>
    <t>-</t>
  </si>
  <si>
    <t>(En nuevos soles)</t>
  </si>
  <si>
    <t xml:space="preserve">  AMAZONAS</t>
  </si>
  <si>
    <t xml:space="preserve">  ANCASH</t>
  </si>
  <si>
    <t xml:space="preserve">  APURIMAC</t>
  </si>
  <si>
    <t xml:space="preserve">  AREQUIPA</t>
  </si>
  <si>
    <t xml:space="preserve">  AYACUCHO</t>
  </si>
  <si>
    <t xml:space="preserve">  CAJAMARCA</t>
  </si>
  <si>
    <t xml:space="preserve">  CALLAO</t>
  </si>
  <si>
    <t xml:space="preserve">  CUSCO</t>
  </si>
  <si>
    <t xml:space="preserve">  HUANCAVELICA</t>
  </si>
  <si>
    <t xml:space="preserve">  HUANUCO</t>
  </si>
  <si>
    <t xml:space="preserve">  ICA</t>
  </si>
  <si>
    <t xml:space="preserve">  JUNIN</t>
  </si>
  <si>
    <t xml:space="preserve">  LA LIBERTAD</t>
  </si>
  <si>
    <t xml:space="preserve">  LAMBAYEQUE</t>
  </si>
  <si>
    <t xml:space="preserve">  LIMA</t>
  </si>
  <si>
    <t xml:space="preserve">  LORETO</t>
  </si>
  <si>
    <t xml:space="preserve">  MADRE DE DIOS</t>
  </si>
  <si>
    <t xml:space="preserve">  MOQUEGUA</t>
  </si>
  <si>
    <t xml:space="preserve">  PASCO</t>
  </si>
  <si>
    <t xml:space="preserve">  PIURA</t>
  </si>
  <si>
    <t xml:space="preserve">  PUNO</t>
  </si>
  <si>
    <t xml:space="preserve">  SAN MARTIN</t>
  </si>
  <si>
    <t xml:space="preserve">  TACNA</t>
  </si>
  <si>
    <t xml:space="preserve">  TUMBES</t>
  </si>
  <si>
    <t xml:space="preserve">  UCAYALI</t>
  </si>
  <si>
    <t xml:space="preserve">  TOTAL</t>
  </si>
  <si>
    <t>TOTAL</t>
  </si>
  <si>
    <t>Fuente: Transparencia Económica del M.E.F. - INGEMMET. Elaboración MINEM.</t>
  </si>
  <si>
    <t>La distribución del Canon Minero, por parte del MEF, se realiza en Julio de cada año  y es de periodicidad anual. Esta constituido por el 50% del Impuesto a la Renta correspondiente al año anterior. El monto corresponde al aporte asignado (monto acreditado), según los índices que se aprueba anualmente.</t>
  </si>
  <si>
    <t>La distribución de las Regalías Mineras es de periodicidad trimestral, el monto corresponde a la asignación (monto acreditado) más los intereses acumulados, según los índices que se aprueba mensualmente</t>
  </si>
  <si>
    <t xml:space="preserve">2010 </t>
  </si>
  <si>
    <t>2011</t>
  </si>
  <si>
    <t>2012</t>
  </si>
  <si>
    <t>2013</t>
  </si>
  <si>
    <t>Este cambio de cálculo es producto de la nueva normatividad Ley Nª 29788 – Ley que Modifica la Ley de Regalía Minera</t>
  </si>
  <si>
    <t>TRANSFERENCIAS A LAS REGIONES POR CANON MINERO</t>
  </si>
  <si>
    <t>TRANSFERENCIAS A LAS REGIONES POR REGALIAS MINERAS</t>
  </si>
  <si>
    <t>TRANSFERENCIAS A LAS REGIONES POR DERECHO DE VIGENCIA Y PENALIDAD</t>
  </si>
  <si>
    <t>TIPO DE ÁREAS RESTRINGIDAS</t>
  </si>
  <si>
    <t>CANTIDAD</t>
  </si>
  <si>
    <t>HAS.</t>
  </si>
  <si>
    <t>% DEL PERÚ</t>
  </si>
  <si>
    <t>1</t>
  </si>
  <si>
    <t>3</t>
  </si>
  <si>
    <t>4</t>
  </si>
  <si>
    <t>PROYECTO ESPECIAL</t>
  </si>
  <si>
    <t>5</t>
  </si>
  <si>
    <t>6</t>
  </si>
  <si>
    <t>7</t>
  </si>
  <si>
    <t>8</t>
  </si>
  <si>
    <t>9</t>
  </si>
  <si>
    <t>10</t>
  </si>
  <si>
    <t>PUERTOS Y AEROPUERTOS</t>
  </si>
  <si>
    <r>
      <t xml:space="preserve">REGALÍAS MINERAS / </t>
    </r>
    <r>
      <rPr>
        <b/>
        <i/>
        <sz val="9"/>
        <color theme="0" tint="-0.499984740745262"/>
        <rFont val="Calibri"/>
        <family val="2"/>
        <scheme val="minor"/>
      </rPr>
      <t>MINING ROYALTIES</t>
    </r>
  </si>
  <si>
    <r>
      <t xml:space="preserve">DERECHO DE VIGENCIA Y PENALIDAD / </t>
    </r>
    <r>
      <rPr>
        <b/>
        <i/>
        <sz val="9"/>
        <color theme="0" tint="-0.499984740745262"/>
        <rFont val="Calibri"/>
        <family val="2"/>
        <scheme val="minor"/>
      </rPr>
      <t>VALIDITY RIGHT AND PENALTY</t>
    </r>
  </si>
  <si>
    <r>
      <t xml:space="preserve">CANON MINERO / </t>
    </r>
    <r>
      <rPr>
        <b/>
        <i/>
        <sz val="9"/>
        <color theme="0" tint="-0.499984740745262"/>
        <rFont val="Calibri"/>
        <family val="2"/>
        <scheme val="minor"/>
      </rPr>
      <t xml:space="preserve">MINING CANON </t>
    </r>
  </si>
  <si>
    <r>
      <t xml:space="preserve">CANON MINERO / </t>
    </r>
    <r>
      <rPr>
        <b/>
        <i/>
        <sz val="9"/>
        <color theme="0" tint="-0.499984740745262"/>
        <rFont val="Calibri"/>
        <family val="2"/>
        <scheme val="minor"/>
      </rPr>
      <t>MINING CANON</t>
    </r>
  </si>
  <si>
    <t>SUIZA</t>
  </si>
  <si>
    <t>CANADA</t>
  </si>
  <si>
    <t>REINO UNIDO</t>
  </si>
  <si>
    <t>CHILE</t>
  </si>
  <si>
    <t>COLOMBIA</t>
  </si>
  <si>
    <t>TRANSFERENCIAS A LAS REGIONES POR RECURSOS GENERADOS POR LA MINERÍA (CANON, REGALIAS Y DERECHO DE VIGENCIA)</t>
  </si>
  <si>
    <t xml:space="preserve">PRINCIPALES INDICADORES MACROECONÓMICOS </t>
  </si>
  <si>
    <t xml:space="preserve">EXPORTACIONES MINERAS POR PRINCIPALES PRODUCTOS </t>
  </si>
  <si>
    <t xml:space="preserve">ESTRUCTURA DE LAS EXPORTACIONES PERUANAS </t>
  </si>
  <si>
    <t>Source: Transparencia Económica del M.E.F. - INGEMMET. Elaborated by MINEM.</t>
  </si>
  <si>
    <r>
      <t xml:space="preserve">DERECHO DE VIGENCIA Y PENALIDAD / </t>
    </r>
    <r>
      <rPr>
        <b/>
        <i/>
        <sz val="9"/>
        <color theme="0" tint="-0.499984740745262"/>
        <rFont val="Calibri"/>
        <family val="2"/>
        <scheme val="minor"/>
      </rPr>
      <t>VALIDITY RIGHT AND PENALTIES</t>
    </r>
  </si>
  <si>
    <t xml:space="preserve">ITEM </t>
  </si>
  <si>
    <r>
      <t xml:space="preserve">Tabla 14 / </t>
    </r>
    <r>
      <rPr>
        <b/>
        <i/>
        <sz val="11"/>
        <color theme="0" tint="-0.499984740745262"/>
        <rFont val="Calibri"/>
        <family val="2"/>
        <scheme val="minor"/>
      </rPr>
      <t>Table 14</t>
    </r>
  </si>
  <si>
    <t>Registered taxpayers according to economic activity</t>
  </si>
  <si>
    <t>Base legal : artículo 57 , literal a) Texto Unico Ordenado de la Ley General de Minería , modificado por Ley N°29169</t>
  </si>
  <si>
    <t>+</t>
  </si>
  <si>
    <t>SECTOR</t>
  </si>
  <si>
    <t>Ene-Jun</t>
  </si>
  <si>
    <t>MINERIA</t>
  </si>
  <si>
    <t>FINANZAS</t>
  </si>
  <si>
    <t>COMUNICACIONES</t>
  </si>
  <si>
    <t>INDUSTRIA</t>
  </si>
  <si>
    <t>ENERGIA</t>
  </si>
  <si>
    <t>COMERCIO</t>
  </si>
  <si>
    <t>PETROLEO</t>
  </si>
  <si>
    <t>SERVICIOS</t>
  </si>
  <si>
    <t>TRANSPORTE</t>
  </si>
  <si>
    <t>CONSTRUCCION</t>
  </si>
  <si>
    <t>PESCA</t>
  </si>
  <si>
    <t>TURISMO</t>
  </si>
  <si>
    <t>AGRICULTURA</t>
  </si>
  <si>
    <t>VIVIENDA</t>
  </si>
  <si>
    <t>SILVICULTURA</t>
  </si>
  <si>
    <t>(Millones de US$)</t>
  </si>
  <si>
    <t>(Thousands of dollars)</t>
  </si>
  <si>
    <t>SALDO DE INVERSIÓN EXTRANJERA DIRECTA EN EL PERÚ COMO APORTE AL CAPITAL, POR SECTOR DE DESTINO</t>
  </si>
  <si>
    <t>Fuente y elaboración: Dirección de Servicios al Inversionista - PROINVERSIÓN</t>
  </si>
  <si>
    <t>Actualizado al 30 de junio de 2014.</t>
  </si>
  <si>
    <t>Considera aportes provenientes del exterior destinados al capital social de empresas nacionales.</t>
  </si>
  <si>
    <t>EE.UU.</t>
  </si>
  <si>
    <t>PAISES BAJOS</t>
  </si>
  <si>
    <t>PANAMA</t>
  </si>
  <si>
    <t>LUXEMBURGO</t>
  </si>
  <si>
    <t>MEXICO</t>
  </si>
  <si>
    <t>SINGAPORE</t>
  </si>
  <si>
    <t>FRANCIA</t>
  </si>
  <si>
    <t>BERMUDA ISLAS</t>
  </si>
  <si>
    <t>BAHAMAS ISLAS</t>
  </si>
  <si>
    <t>URUGUAY</t>
  </si>
  <si>
    <t>ECUADOR</t>
  </si>
  <si>
    <t>CAYMAN ISLAS</t>
  </si>
  <si>
    <t>BELGICA</t>
  </si>
  <si>
    <t>SUECIA</t>
  </si>
  <si>
    <t>COREA</t>
  </si>
  <si>
    <t>ARGENTINA</t>
  </si>
  <si>
    <t>PORTUGAL</t>
  </si>
  <si>
    <t>LIECHTENSTEIN</t>
  </si>
  <si>
    <t>DINAMARCA</t>
  </si>
  <si>
    <t>VENEZUELA</t>
  </si>
  <si>
    <t>AUSTRALIA</t>
  </si>
  <si>
    <t>NUEVA ZELANDIA</t>
  </si>
  <si>
    <t>AUSTRIA</t>
  </si>
  <si>
    <t>MALTA</t>
  </si>
  <si>
    <t>BOLIVIA</t>
  </si>
  <si>
    <t>HONDURAS</t>
  </si>
  <si>
    <t>RUSIA</t>
  </si>
  <si>
    <t>MINERÍA</t>
  </si>
  <si>
    <t>SALDO DE INVERSIÓN EXTRANJERA DIRECTA EN EL PERÚ COMO APORTE AL CAPITAL, POR PAÍS DE DOMICILIO</t>
  </si>
  <si>
    <t>HUDBAY PERU S.A.C.</t>
  </si>
  <si>
    <t>EVOLUCION ANUAL</t>
  </si>
  <si>
    <t xml:space="preserve">Ene </t>
  </si>
  <si>
    <t>ENE</t>
  </si>
  <si>
    <t>PLATA / onzas</t>
  </si>
  <si>
    <t>APURIMAC</t>
  </si>
  <si>
    <t>FEB</t>
  </si>
  <si>
    <t>Var(%)</t>
  </si>
  <si>
    <t>Abr</t>
  </si>
  <si>
    <t xml:space="preserve">Tabla 02.1 </t>
  </si>
  <si>
    <t xml:space="preserve">Hierro </t>
  </si>
  <si>
    <t>TMF</t>
  </si>
  <si>
    <t>Tabla 02.2</t>
  </si>
  <si>
    <t xml:space="preserve">Tabla 02.3 </t>
  </si>
  <si>
    <t>EXPORTACIONES</t>
  </si>
  <si>
    <t>UNIDAD</t>
  </si>
  <si>
    <t>Tabla 03</t>
  </si>
  <si>
    <t>MAR</t>
  </si>
  <si>
    <t xml:space="preserve">Tabla 03.2 </t>
  </si>
  <si>
    <t xml:space="preserve">Tabla 07 </t>
  </si>
  <si>
    <t>Tabla 07.1</t>
  </si>
  <si>
    <t>REGIONES</t>
  </si>
  <si>
    <t xml:space="preserve">Tabla 07.3 </t>
  </si>
  <si>
    <t xml:space="preserve">Tabla 07.2 </t>
  </si>
  <si>
    <t>Tabla 09</t>
  </si>
  <si>
    <t>UNIDADES</t>
  </si>
  <si>
    <t>SITUACIÓN</t>
  </si>
  <si>
    <t>Ha</t>
  </si>
  <si>
    <t>EXPLOTACIÓN</t>
  </si>
  <si>
    <t>EXPLORACIÓN</t>
  </si>
  <si>
    <t>CONSTRUCCIÓN</t>
  </si>
  <si>
    <t>CATEO Y PROSPECCIÓN</t>
  </si>
  <si>
    <t>CIERRE POST-CIERRE(DEFINITIVO)</t>
  </si>
  <si>
    <t>CIERRE FINAL</t>
  </si>
  <si>
    <t>UNIDADES MINERAS EN ACTIVIDAD</t>
  </si>
  <si>
    <t>Nota:  Territorio Nacional  = 128,521,560 ha.</t>
  </si>
  <si>
    <t>COMPAÑÍA MINERA MILPO S.A.A.</t>
  </si>
  <si>
    <t>COMPAÑÍA DE MINAS BUENAVENTURA S.A.A.</t>
  </si>
  <si>
    <t>ABR</t>
  </si>
  <si>
    <t>MAY</t>
  </si>
  <si>
    <t>Ingresos del Gobierno Central (Millones de Nuevos Soles)</t>
  </si>
  <si>
    <t>Concepto</t>
  </si>
  <si>
    <t>IEM</t>
  </si>
  <si>
    <t xml:space="preserve">        Regalías Mineras</t>
  </si>
  <si>
    <t>Regalías Mineras  
Ley Nº 29788</t>
  </si>
  <si>
    <t>Gravámen Especial 
a la Minería</t>
  </si>
  <si>
    <t>Oct.</t>
  </si>
  <si>
    <t xml:space="preserve"> -</t>
  </si>
  <si>
    <t>Nov.</t>
  </si>
  <si>
    <t>Dic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</si>
  <si>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</si>
  <si>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</si>
  <si>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</si>
  <si>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</si>
  <si>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</si>
  <si>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</si>
  <si>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</si>
  <si>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</si>
  <si>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</si>
  <si>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Dic.</t>
  </si>
  <si>
    <t>Ago</t>
  </si>
  <si>
    <t>Sep</t>
  </si>
  <si>
    <t>Oct</t>
  </si>
  <si>
    <t>Fuente: SUNAT, Nota Tributaria.</t>
  </si>
  <si>
    <t>TOTAL GENERAL</t>
  </si>
  <si>
    <t>JUN</t>
  </si>
  <si>
    <t>JUL</t>
  </si>
  <si>
    <t>La distribución por concepto de Derecho de Vigencia y Penalidad, es de periodicidad mensual y efectivamente pagado en el año. Cifras al 31 Jul 2015.</t>
  </si>
  <si>
    <t xml:space="preserve">La distribución por concepto de Derecho de Vigencia y Penalidad, es de periodicidad mensual y efectivamente pagado en el año. </t>
  </si>
  <si>
    <t>La distribución por concepto de Derecho de Vigencia y Penalidad, es de periodicidad mensual y efectivamente pagado en el año.</t>
  </si>
  <si>
    <t>Set.</t>
  </si>
  <si>
    <t>AGO</t>
  </si>
  <si>
    <t>SET</t>
  </si>
  <si>
    <t>BENEFICIO</t>
  </si>
  <si>
    <t>OCT</t>
  </si>
  <si>
    <t>Fuente: INGEMMET. Elaboración MEM.</t>
  </si>
  <si>
    <t>Tabla 9.1:</t>
  </si>
  <si>
    <t>CANTIDAD DE SOLICITUDES DE PETITORIOS MINEROS A NIVEL NACIONAL</t>
  </si>
  <si>
    <t>NOV</t>
  </si>
  <si>
    <t>DIC</t>
  </si>
  <si>
    <t>Tabla 9.2:</t>
  </si>
  <si>
    <t>CANTIDAD DE TITULOS OTORGADOS POR INGEMMET</t>
  </si>
  <si>
    <t>Tabla 9.3:</t>
  </si>
  <si>
    <t>Tipo Cambio *</t>
  </si>
  <si>
    <t>Variación respecto al mes anterior</t>
  </si>
  <si>
    <t>Mes</t>
  </si>
  <si>
    <t>MINERA LAS BAMBAS S.A.</t>
  </si>
  <si>
    <t>COMPAÑIA MINERA ATACOCHA S.A.A.</t>
  </si>
  <si>
    <t>g finos</t>
  </si>
  <si>
    <t>kg finos</t>
  </si>
  <si>
    <t>ORO / g finos</t>
  </si>
  <si>
    <t>PLATA / KG FINOS</t>
  </si>
  <si>
    <t>AÑOS</t>
  </si>
  <si>
    <t xml:space="preserve">COBRE </t>
  </si>
  <si>
    <t xml:space="preserve">ORO </t>
  </si>
  <si>
    <t xml:space="preserve">ZINC </t>
  </si>
  <si>
    <t xml:space="preserve">PLATA </t>
  </si>
  <si>
    <t xml:space="preserve">PLOMO </t>
  </si>
  <si>
    <t xml:space="preserve">ESTAÑO </t>
  </si>
  <si>
    <t>HIERRO</t>
  </si>
  <si>
    <t xml:space="preserve">MOLIBDENO </t>
  </si>
  <si>
    <t>Ctvs.US$/lb</t>
  </si>
  <si>
    <t>US$/Oz.tr.</t>
  </si>
  <si>
    <t>US$/tm</t>
  </si>
  <si>
    <t>US$/lb</t>
  </si>
  <si>
    <t xml:space="preserve">A/ Precios de Exportación   </t>
  </si>
  <si>
    <t xml:space="preserve">FUENTE:  BCRP, Reuters, Estadisticas Internacionales del FMI </t>
  </si>
  <si>
    <t xml:space="preserve">A/ Export Value  </t>
  </si>
  <si>
    <t>FUENTE: BCRP, Reuters, International Statistics of the International Monetary Fund</t>
  </si>
  <si>
    <t xml:space="preserve">Export. Met.  </t>
  </si>
  <si>
    <t>Minerales no metálicos</t>
  </si>
  <si>
    <t>Sidero-metalúrgicos y joyería</t>
  </si>
  <si>
    <t>Metal-mecánicos</t>
  </si>
  <si>
    <t>Petróleo y gas natural</t>
  </si>
  <si>
    <t>Agrícolas</t>
  </si>
  <si>
    <t>Agropecuarios</t>
  </si>
  <si>
    <t>Textiles</t>
  </si>
  <si>
    <t>Maderas y papeles</t>
  </si>
  <si>
    <t>COMPAÑIA MINERA PODEROSA S.A.</t>
  </si>
  <si>
    <t>* Promedio del Cambio Interbancario</t>
  </si>
  <si>
    <t>11</t>
  </si>
  <si>
    <t>AREA NATURAL</t>
  </si>
  <si>
    <t>CLASIFICACION DIVERSA (gasoductos, oleoductos, ecosistemas frágiles, otros)</t>
  </si>
  <si>
    <t>AREA NATURAL_AMORTIGUAMIENTO</t>
  </si>
  <si>
    <t>ZONAS ARQUEOLOGICAS</t>
  </si>
  <si>
    <t>AREAS DE DEFENSA NACIONAL</t>
  </si>
  <si>
    <t>PROPUESTA DE AREA NATURAL</t>
  </si>
  <si>
    <t>POSIBLE AREA URBANA</t>
  </si>
  <si>
    <t xml:space="preserve">ZONA URBANA </t>
  </si>
  <si>
    <t>Nd:  No Disponible a la fecha</t>
  </si>
  <si>
    <t>Millones US$</t>
  </si>
  <si>
    <t>(Soles por U.S. dólar)</t>
  </si>
  <si>
    <t xml:space="preserve">Var. % mensual </t>
  </si>
  <si>
    <t>(Var % anualizadas)</t>
  </si>
  <si>
    <t>Fuente: Banco Central de Reserva del Perú / Elaborado por MINEM.</t>
  </si>
  <si>
    <t>Químicos</t>
  </si>
  <si>
    <t>Pesqueros (Export. No Trad.)</t>
  </si>
  <si>
    <t>Pesqueros (Export. Trad.)</t>
  </si>
  <si>
    <t>HIERRO / TMF</t>
  </si>
  <si>
    <t>ESTAÑO / TMF</t>
  </si>
  <si>
    <t>SHOUGANG HIERRO PERU S.A.A.</t>
  </si>
  <si>
    <t>MINSUR S.A.</t>
  </si>
  <si>
    <t>Información Preliminar</t>
  </si>
  <si>
    <t>PIURA</t>
  </si>
  <si>
    <t>COMPAÑIA MINERA CHUNGAR S.A.C.</t>
  </si>
  <si>
    <t>Set</t>
  </si>
  <si>
    <t>Mineros Metálicos</t>
  </si>
  <si>
    <t>PRINCIPALES PRODUCTOS METÁLICOS (Millones de US$ Part %)</t>
  </si>
  <si>
    <t>Tabla 03.3</t>
  </si>
  <si>
    <t>Tabla 03.4</t>
  </si>
  <si>
    <t>Productos Metálicos</t>
  </si>
  <si>
    <t>MOLIBDENO / TMF</t>
  </si>
  <si>
    <t>TOTAL EXPORTACIONES MINERAS</t>
  </si>
  <si>
    <t xml:space="preserve">Abr. </t>
  </si>
  <si>
    <t>LME</t>
  </si>
  <si>
    <t>LMB</t>
  </si>
  <si>
    <t>London Fix</t>
  </si>
  <si>
    <t>203,36</t>
  </si>
  <si>
    <t>184,24</t>
  </si>
  <si>
    <t>222,09</t>
  </si>
  <si>
    <t>385,95</t>
  </si>
  <si>
    <t>334,53</t>
  </si>
  <si>
    <t>397,99</t>
  </si>
  <si>
    <t>660,73</t>
  </si>
  <si>
    <t>839,08</t>
  </si>
  <si>
    <t>616,56</t>
  </si>
  <si>
    <t>927,47</t>
  </si>
  <si>
    <t>1180,31</t>
  </si>
  <si>
    <t>956,78</t>
  </si>
  <si>
    <t>1011,70</t>
  </si>
  <si>
    <t>993,03</t>
  </si>
  <si>
    <t>728,93</t>
  </si>
  <si>
    <t>816,74</t>
  </si>
  <si>
    <t>TSI</t>
  </si>
  <si>
    <t>US Market</t>
  </si>
  <si>
    <t>RECAUDACION POR RÉGIMEN TRIBUTARIO DE LA MINERÍA</t>
  </si>
  <si>
    <t>TITULOS OTORGADAS POR INGEMMET (HECTAREAS)</t>
  </si>
  <si>
    <t>TOTAL EXPORTACIONES NACIONALES</t>
  </si>
  <si>
    <t>COMPAÑIA MINERA SAN IGNACIO DE MOROCOCHA S.A.A.</t>
  </si>
  <si>
    <t>Feb</t>
  </si>
  <si>
    <t>1995 - 2017: COTIZACIÓN DE PRINCIPALES PRODUCTOS MINEROS (A)   - PROMEDIO ANUAL</t>
  </si>
  <si>
    <t>MINERA LA ZANJA S.R.L.</t>
  </si>
  <si>
    <t>MINERA BATEAS S.A.C.</t>
  </si>
  <si>
    <t>COMPAÑIA MINERA CASAPALCA S.A.</t>
  </si>
  <si>
    <t>Mar</t>
  </si>
  <si>
    <t>*Tipo de cambio : 1$=3.260 soles</t>
  </si>
  <si>
    <t>AREAS DE NO ADMISION DE PETITORIOS - OTRAS</t>
  </si>
  <si>
    <t>AREAS DE NO ADMISION DE PETITORIOS - INGEMMET</t>
  </si>
  <si>
    <t>CONSOLIDADO DE INVERSIONES SEGÚN RUBRO(*)</t>
  </si>
  <si>
    <t>EN US$</t>
  </si>
  <si>
    <t>Cant Ejecutada</t>
  </si>
  <si>
    <t>Tipo Inversion</t>
  </si>
  <si>
    <t>2008</t>
  </si>
  <si>
    <t>2009</t>
  </si>
  <si>
    <t>2016</t>
  </si>
  <si>
    <t>Total general</t>
  </si>
  <si>
    <t>EQUIPAMIENTO DE PLANTA DE BENEFICIO</t>
  </si>
  <si>
    <t>EQUIPAMIENTO MINERO</t>
  </si>
  <si>
    <t>INFRAESTRUCTURA</t>
  </si>
  <si>
    <t>PREPARACIÓN</t>
  </si>
  <si>
    <t>AÑOS/RUBROS</t>
  </si>
  <si>
    <t>EQ. DE PTA DE BENEFICIO</t>
  </si>
  <si>
    <t>2015(p)</t>
  </si>
  <si>
    <t>2016(p)</t>
  </si>
  <si>
    <t>2017(p)</t>
  </si>
  <si>
    <t>Enero</t>
  </si>
  <si>
    <t>Febrero</t>
  </si>
  <si>
    <t>Marzo</t>
  </si>
  <si>
    <t>Abril</t>
  </si>
  <si>
    <t>Var %</t>
  </si>
  <si>
    <t>Notas Importantes</t>
  </si>
  <si>
    <t>Las cifras reportadas pertenecen a la Declaración Estadística Mensual (R.D. 091-2009-MEM/DGM)</t>
  </si>
  <si>
    <t>(p)Los datos reportados 2015, 2016 y 2017 son preliminares</t>
  </si>
  <si>
    <r>
      <rPr>
        <u/>
        <sz val="11"/>
        <rFont val="Arial"/>
        <family val="2"/>
      </rPr>
      <t>Fuente</t>
    </r>
    <r>
      <rPr>
        <sz val="11"/>
        <rFont val="Arial"/>
        <family val="2"/>
      </rPr>
      <t xml:space="preserve">: Declaracion Estadistica Mensual ESTAMIN - información declarada por los Titulares Mineros </t>
    </r>
  </si>
  <si>
    <t>Elaborado por la Dirección de Promoción Minera</t>
  </si>
  <si>
    <t>D.G.H.H.</t>
  </si>
  <si>
    <t>AñoMes</t>
  </si>
  <si>
    <t>2016-01</t>
  </si>
  <si>
    <t>2016-02</t>
  </si>
  <si>
    <t>2016-03</t>
  </si>
  <si>
    <t>2016-04</t>
  </si>
  <si>
    <t>2017-01</t>
  </si>
  <si>
    <t>2017-02</t>
  </si>
  <si>
    <t>2017-03</t>
  </si>
  <si>
    <t>2017-04</t>
  </si>
  <si>
    <t xml:space="preserve">RANKING DE LAS PRINCIPALES EMPRESAS MINERAS INVERSIONISTAS EN EL PERÚ -  </t>
  </si>
  <si>
    <t>RANKING</t>
  </si>
  <si>
    <t>TITULAR MINERO</t>
  </si>
  <si>
    <t>2017</t>
  </si>
  <si>
    <t>Variaciòn     %</t>
  </si>
  <si>
    <t xml:space="preserve">1° 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</si>
  <si>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</si>
  <si>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</si>
  <si>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</si>
  <si>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</si>
  <si>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</si>
  <si>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</si>
  <si>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</si>
  <si>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</si>
  <si>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</si>
  <si>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</si>
  <si>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SHAHUINDO S.A.C.</t>
  </si>
  <si>
    <t>12°</t>
  </si>
  <si>
    <t>ANGLO AMERICAN QUELLAVECO S.A.</t>
  </si>
  <si>
    <t>13°</t>
  </si>
  <si>
    <t>14°</t>
  </si>
  <si>
    <t>15°</t>
  </si>
  <si>
    <t>16°</t>
  </si>
  <si>
    <t>ANABI S.A.C.</t>
  </si>
  <si>
    <t>17°</t>
  </si>
  <si>
    <t>18°</t>
  </si>
  <si>
    <t>19°</t>
  </si>
  <si>
    <t>20°</t>
  </si>
  <si>
    <t>21°</t>
  </si>
  <si>
    <t>MARCOBRE S.A.C.</t>
  </si>
  <si>
    <t>22°</t>
  </si>
  <si>
    <t>COMPAÑIA MINERA SANTA LUISA S.A.</t>
  </si>
  <si>
    <t>23°</t>
  </si>
  <si>
    <t>TREVALI PERU S.A.C.</t>
  </si>
  <si>
    <t>24°</t>
  </si>
  <si>
    <t>25°</t>
  </si>
  <si>
    <t>26°</t>
  </si>
  <si>
    <t>27°</t>
  </si>
  <si>
    <t>28°</t>
  </si>
  <si>
    <t>COMPAÑIA MINERA KOLPA S.A.</t>
  </si>
  <si>
    <t>29°</t>
  </si>
  <si>
    <t>30°</t>
  </si>
  <si>
    <t>31°</t>
  </si>
  <si>
    <t>TITAN CONTRATISTAS GENERALES S.A.C.</t>
  </si>
  <si>
    <t>32°</t>
  </si>
  <si>
    <t>MINERA IRL S.A.</t>
  </si>
  <si>
    <t>33°</t>
  </si>
  <si>
    <t>CONSORCIO DE INGENIEROS EJECUTORES MINEROS S.A.</t>
  </si>
  <si>
    <t>34°</t>
  </si>
  <si>
    <t>UNION ANDINA DE CEMENTOS S.A.A.</t>
  </si>
  <si>
    <t>35°</t>
  </si>
  <si>
    <t>PAN AMERICAN SILVER HUARON S.A.</t>
  </si>
  <si>
    <t>36°</t>
  </si>
  <si>
    <t>37°</t>
  </si>
  <si>
    <t>MINERA AURIFERA CUATRO DE ENERO S.A.</t>
  </si>
  <si>
    <t>38°</t>
  </si>
  <si>
    <t>COMPAÑIA MINERA CONDESTABLE S.A.</t>
  </si>
  <si>
    <t>39°</t>
  </si>
  <si>
    <t>EMPRESA MINERA LOS QUENUALES S.A.</t>
  </si>
  <si>
    <t>40°</t>
  </si>
  <si>
    <t>41°</t>
  </si>
  <si>
    <t>COMPAÑIA MINERA CARAVELI S.A.C.</t>
  </si>
  <si>
    <t>42°</t>
  </si>
  <si>
    <t>COMPAÑIA MINERA ARGENTUM S.A.</t>
  </si>
  <si>
    <t>43°</t>
  </si>
  <si>
    <t>COMPAÑIA MINERA MISKI MAYO S.R.L.</t>
  </si>
  <si>
    <t>44°</t>
  </si>
  <si>
    <t>45°</t>
  </si>
  <si>
    <t>COMPAÑIA MINERA ZAFRANAL S.A.C.</t>
  </si>
  <si>
    <t>46°</t>
  </si>
  <si>
    <t>CORPORACION MINERA CENTAURO S.A.C.</t>
  </si>
  <si>
    <t>47°</t>
  </si>
  <si>
    <t>48°</t>
  </si>
  <si>
    <t>MINERA SHUNTUR S.A.C.</t>
  </si>
  <si>
    <t>49°</t>
  </si>
  <si>
    <t>50°</t>
  </si>
  <si>
    <t>Otras ( 2016=  433 Empresas; 2017=   422 Empresas)</t>
  </si>
  <si>
    <t>(En US $)</t>
  </si>
  <si>
    <t>Titular Minero</t>
  </si>
  <si>
    <t>Var. %</t>
  </si>
  <si>
    <t>VAR.%</t>
  </si>
  <si>
    <t>Otras ( 2016= 71 Empresas; 2017=  71 Empresa)</t>
  </si>
  <si>
    <t>Otras ( 2016= 156 Empresas; 2017=  143 Empresas)</t>
  </si>
  <si>
    <t>EXPLORACION</t>
  </si>
  <si>
    <t>EXPLOTACION</t>
  </si>
  <si>
    <t>Otras ( 2016= 244 Empresas; 2017=  214  Empresas)</t>
  </si>
  <si>
    <t>Otras ( 2016= 203 Empresas; 2017=  214 Empresas)</t>
  </si>
  <si>
    <t>Otras ( 2016= 165  Empresas; 2017= 150 Empresas)</t>
  </si>
  <si>
    <t>Otras ( 2016= 236 Empresas; 2017=  246 Empresas)</t>
  </si>
  <si>
    <t>PREPARACION</t>
  </si>
  <si>
    <t>Otras ( 2016= 140 Empresas; 2017=  116 Empresas)</t>
  </si>
  <si>
    <t>D.G.H.H</t>
  </si>
  <si>
    <t>INVERSIONES MINERAS SEGÚN REGION (*)</t>
  </si>
  <si>
    <t>DEPARTAMENTO</t>
  </si>
  <si>
    <t>Etiquetas de fila</t>
  </si>
  <si>
    <t>Suma de 2016</t>
  </si>
  <si>
    <t>Suma de 2017</t>
  </si>
  <si>
    <t>AMAZONAS</t>
  </si>
  <si>
    <t>(en miles de US $)</t>
  </si>
  <si>
    <t>%</t>
  </si>
  <si>
    <t>CALLAO</t>
  </si>
  <si>
    <t>LAMBAYEQUE</t>
  </si>
  <si>
    <t>LORETO</t>
  </si>
  <si>
    <t>SAN MARTIN</t>
  </si>
  <si>
    <t>TUMBES</t>
  </si>
  <si>
    <t xml:space="preserve">Total </t>
  </si>
  <si>
    <t>Fuente : Declaraciones Juradas hechas por los titulares mineros (ESTAMIN)</t>
  </si>
  <si>
    <t>Unidad Minera</t>
  </si>
  <si>
    <t>INTERNACIONAL</t>
  </si>
  <si>
    <t>COMPANY SILVER GOLD S.A.</t>
  </si>
  <si>
    <t>PURISIMA</t>
  </si>
  <si>
    <t>Total COMPANY SILVER GOLD S.A.</t>
  </si>
  <si>
    <t>MINERA PEÑOLES DE PERU S.A.</t>
  </si>
  <si>
    <t>SAN PEDRO</t>
  </si>
  <si>
    <t>Total MINERA PEÑOLES DE PERU S.A.</t>
  </si>
  <si>
    <t>Inversión realizada en \ año</t>
  </si>
  <si>
    <t>PANORO APURIMAC S.A.</t>
  </si>
  <si>
    <t>PANAPU 1</t>
  </si>
  <si>
    <t>Total PANORO APURIMAC S.A.</t>
  </si>
  <si>
    <t>Las cifras de enero 2007 a marzo 2009 pertenecen a las declaraciones trimestrales Inversiones Mayores a 100,000 US$ (R.D. 104-96-EM/DGM)</t>
  </si>
  <si>
    <t>Total INTERNACIONAL</t>
  </si>
  <si>
    <t>Las cifras reportadas de abril 2009 en adelante pertenecen a la Declaración Estadística Mensual (R.D. 091-2009-MEM/DGM)</t>
  </si>
  <si>
    <t>COMPAÑIA MINERA AGREGADOS CALCAREOS S.A.</t>
  </si>
  <si>
    <t>SAN HILARION Nº 9-03</t>
  </si>
  <si>
    <t>Total COMPAÑIA MINERA AGREGADOS CALCAREOS S.A.</t>
  </si>
  <si>
    <t>Total MAR</t>
  </si>
  <si>
    <t>AMPLIACIONES</t>
  </si>
  <si>
    <t xml:space="preserve">SOUTHERN PERU COPPER CORPORATION </t>
  </si>
  <si>
    <t>Ampliación Toquepala</t>
  </si>
  <si>
    <t>Cu</t>
  </si>
  <si>
    <t>COMPANIA MINERA MISKI MAYO S.R.L.</t>
  </si>
  <si>
    <t>Ampliación Bayovar</t>
  </si>
  <si>
    <t>Fosfatos</t>
  </si>
  <si>
    <t>Ampliación Marcona</t>
  </si>
  <si>
    <t>Fe</t>
  </si>
  <si>
    <t>Ampliacion Toromocho</t>
  </si>
  <si>
    <t>Ampliacion Lagunas Norte</t>
  </si>
  <si>
    <t>Au</t>
  </si>
  <si>
    <t>CON EIA APROBADO / EN CONSTRUCCIÓN</t>
  </si>
  <si>
    <t>Quellaveco</t>
  </si>
  <si>
    <t>Minas Conga</t>
  </si>
  <si>
    <t>Cu, Au</t>
  </si>
  <si>
    <t>COMPAÑÍA MINERA ARES S.A.</t>
  </si>
  <si>
    <t>Crespo</t>
  </si>
  <si>
    <t>CUZCO</t>
  </si>
  <si>
    <t>Au - Ag</t>
  </si>
  <si>
    <t>MINERA SHOUXIN PERU S.A.</t>
  </si>
  <si>
    <t>Explotacion de relaves</t>
  </si>
  <si>
    <t>MARCONA</t>
  </si>
  <si>
    <t>Cu, Fe, Zn</t>
  </si>
  <si>
    <t>Shahuindo</t>
  </si>
  <si>
    <t>BEAR CREEK MINING COMPANY - SUC. DEL PERU</t>
  </si>
  <si>
    <t>Corani</t>
  </si>
  <si>
    <t>Ag</t>
  </si>
  <si>
    <t>MINERA KURI KULLU S.A.</t>
  </si>
  <si>
    <t>Ollachea</t>
  </si>
  <si>
    <t xml:space="preserve"> FOSFATOS DEL PACIFICO S.A.-FOSPAC </t>
  </si>
  <si>
    <t>Proyecto Fosfatos</t>
  </si>
  <si>
    <t>SOUTHERN PERU COPPER CORPORATION</t>
  </si>
  <si>
    <t>Tia Maria</t>
  </si>
  <si>
    <t>Tambomayo</t>
  </si>
  <si>
    <t>Au, Ag</t>
  </si>
  <si>
    <t>JINZHAO  MINING PERU S.A.</t>
  </si>
  <si>
    <t>Pampa de Pongo</t>
  </si>
  <si>
    <t>COMPAÑIA MINERA MILPO S.A.A.</t>
  </si>
  <si>
    <t>Pukaqaqa</t>
  </si>
  <si>
    <t>Cu-Mo</t>
  </si>
  <si>
    <t>COMPAÑÍA MINERA MIILPO S.A.A.</t>
  </si>
  <si>
    <t>Magistral</t>
  </si>
  <si>
    <t>ARIANA OPERACIONES MINERAS S.A.C</t>
  </si>
  <si>
    <t>Ariana</t>
  </si>
  <si>
    <t>Cu, Zn</t>
  </si>
  <si>
    <t>por definir</t>
  </si>
  <si>
    <t>CON EIA PRESENTADO / EN EVALUACIÓN</t>
  </si>
  <si>
    <t>BEAR CREEK MINING COMPANY - SUC PERU</t>
  </si>
  <si>
    <t>Santa Ana</t>
  </si>
  <si>
    <t>San Gabriel (Ex-Chucapaca)</t>
  </si>
  <si>
    <t>Marcobre (Mina Justa)</t>
  </si>
  <si>
    <t>EN EXPLORACIÓN</t>
  </si>
  <si>
    <t>PROINVERSION</t>
  </si>
  <si>
    <t>Michiquillay</t>
  </si>
  <si>
    <t>APURIMAC FERRUM S.A.</t>
  </si>
  <si>
    <t>Hierro Apurimac</t>
  </si>
  <si>
    <t>CAÑARIACO COPPER PERU S.A.</t>
  </si>
  <si>
    <t>Cañariaco</t>
  </si>
  <si>
    <t>Hilarión</t>
  </si>
  <si>
    <t>Zn</t>
  </si>
  <si>
    <t>COMPAÑIA MINERA QUECHUA S.A.</t>
  </si>
  <si>
    <t>Quechua</t>
  </si>
  <si>
    <t>JUNEFIELD GROUP S.A.</t>
  </si>
  <si>
    <t>Don Javier</t>
  </si>
  <si>
    <t>LUMINA COPPER S.A.C.</t>
  </si>
  <si>
    <t>Galeno</t>
  </si>
  <si>
    <t>Cu, Mo, Au, Ag</t>
  </si>
  <si>
    <t>MINERA ANTARES PERU S.A.C.</t>
  </si>
  <si>
    <t>Haquira</t>
  </si>
  <si>
    <t>MINERA HAMPTON PERU S.A.C</t>
  </si>
  <si>
    <t>Los Calatos</t>
  </si>
  <si>
    <t>MINERA CUERVO S.A.C.</t>
  </si>
  <si>
    <t>Cerro Ccopane</t>
  </si>
  <si>
    <t>Por definir</t>
  </si>
  <si>
    <t>RIO BLANCO COPPER S.A.</t>
  </si>
  <si>
    <t>Río Blanco</t>
  </si>
  <si>
    <t>RIO TINTO MINERA PERU LIMITADA S.A.C.</t>
  </si>
  <si>
    <t>La Granja</t>
  </si>
  <si>
    <t>Los Chancas</t>
  </si>
  <si>
    <t>AMERICAS POTASH PERU S.A.</t>
  </si>
  <si>
    <t>Salmueras de Sechura</t>
  </si>
  <si>
    <t>Potasio</t>
  </si>
  <si>
    <t>COMPAÑIA MINERA VICHAYCOCHA S.A.</t>
  </si>
  <si>
    <t>Rondoni</t>
  </si>
  <si>
    <t>MINERA AQM COPPER PERU S.A.C.</t>
  </si>
  <si>
    <t>Zafranal</t>
  </si>
  <si>
    <t xml:space="preserve"> EXPLORACIONES COLLASUYO S.A.C. </t>
  </si>
  <si>
    <t>Accha</t>
  </si>
  <si>
    <t>Zn, Pb</t>
  </si>
  <si>
    <t>MANTARO PERU S.A.</t>
  </si>
  <si>
    <t>Fosfatos Mantaro</t>
  </si>
  <si>
    <t>Quicay II</t>
  </si>
  <si>
    <t>Au, Cu</t>
  </si>
  <si>
    <t>ANABI S.A.C</t>
  </si>
  <si>
    <t>Anubia</t>
  </si>
  <si>
    <t xml:space="preserve">Explotacion de relaves Bofedal 2 </t>
  </si>
  <si>
    <t>Sn</t>
  </si>
  <si>
    <t>Cotabambas</t>
  </si>
  <si>
    <t>Cu, Au, Ag</t>
  </si>
  <si>
    <t>EL MOLLE VERDE S.A.C.</t>
  </si>
  <si>
    <t>Trapiche</t>
  </si>
  <si>
    <t>Cu, Mo, Ag</t>
  </si>
  <si>
    <t>PLATEAU URANIUM</t>
  </si>
  <si>
    <t>Macusani</t>
  </si>
  <si>
    <t>Uranio</t>
  </si>
  <si>
    <t xml:space="preserve">  EMPRESA</t>
  </si>
  <si>
    <t>PROYECTO</t>
  </si>
  <si>
    <t>REGION</t>
  </si>
  <si>
    <t>MINERAL</t>
  </si>
  <si>
    <t>inverSIÓN us$ mm</t>
  </si>
  <si>
    <t>Boletín Estadístico Minero: Empleo en Minería</t>
  </si>
  <si>
    <t xml:space="preserve"> al 24 de mayo de 2017 </t>
  </si>
  <si>
    <t>Tabla 05.1:</t>
  </si>
  <si>
    <t>Tabla 05.2:</t>
  </si>
  <si>
    <t>EMPLEO DIRECTO PROMEDIO SEGÚN EMPLEADOR</t>
  </si>
  <si>
    <t>Compañía</t>
  </si>
  <si>
    <t>Contratista</t>
  </si>
  <si>
    <t>Total</t>
  </si>
  <si>
    <t>Región</t>
  </si>
  <si>
    <t>Personas</t>
  </si>
  <si>
    <t>Part.%</t>
  </si>
  <si>
    <t>Ene</t>
  </si>
  <si>
    <t>Tabla 05.3:</t>
  </si>
  <si>
    <t>Boletín Estadístico Minero: Empleo en el Sector Minero</t>
  </si>
  <si>
    <t>Nro. de Trabajadores</t>
  </si>
  <si>
    <t>2015 (p)</t>
  </si>
  <si>
    <t>2016 (p)</t>
  </si>
  <si>
    <t>2017 (p)</t>
  </si>
  <si>
    <t xml:space="preserve">Tabla 01   </t>
  </si>
  <si>
    <t>Nd / Disponible 20 de Julio - BCRP</t>
  </si>
  <si>
    <t>BOLETIN</t>
  </si>
  <si>
    <t>Mayo</t>
  </si>
  <si>
    <t>Acum. Ene-Abr</t>
  </si>
  <si>
    <t>ene-abr</t>
  </si>
  <si>
    <t xml:space="preserve">May. </t>
  </si>
  <si>
    <t>ÁREAS RESTRINGIDAS A LA MINERÍA / MAYO 2017</t>
  </si>
  <si>
    <t>ACTIVIDAD MINERA - MAYO 2017</t>
  </si>
  <si>
    <t xml:space="preserve">Feb. </t>
  </si>
  <si>
    <t>Total Trabajadores</t>
  </si>
  <si>
    <t>Año-Mes</t>
  </si>
  <si>
    <t>Tipo de Cliente</t>
  </si>
  <si>
    <t>2017-05</t>
  </si>
  <si>
    <t>CONTRATISTA MINERO</t>
  </si>
  <si>
    <t>2017:  Mayo</t>
  </si>
  <si>
    <t xml:space="preserve"> al 21 de junio de 2017 </t>
  </si>
  <si>
    <t>EMPRESAS CONEXA</t>
  </si>
  <si>
    <t>EMPRESA MINERA</t>
  </si>
  <si>
    <t>MAYO 2017: EMPLEO DIRECTO SEGÚN REGIÓN</t>
  </si>
  <si>
    <t>enero</t>
  </si>
  <si>
    <t>febrero</t>
  </si>
  <si>
    <t>marzo</t>
  </si>
  <si>
    <t>abril</t>
  </si>
  <si>
    <t>mayo</t>
  </si>
  <si>
    <t>CONTRATISTA</t>
  </si>
  <si>
    <t>COMPAÑÍA</t>
  </si>
  <si>
    <t>2016-05</t>
  </si>
  <si>
    <t>MAYO</t>
  </si>
  <si>
    <t>Suma de 2017-05</t>
  </si>
  <si>
    <t>VARIACIÓN INTERANUAL / MAYO</t>
  </si>
  <si>
    <t>AÑO</t>
  </si>
  <si>
    <t>EMPLEO</t>
  </si>
  <si>
    <t>&lt;&lt;--No Registrado--&gt;&gt;</t>
  </si>
  <si>
    <t>MINA LAS VEGAS E.I.R.L.</t>
  </si>
  <si>
    <t>MINERA VICUS S.A.C.</t>
  </si>
  <si>
    <r>
      <rPr>
        <b/>
        <sz val="11"/>
        <color indexed="8"/>
        <rFont val="Calibri"/>
        <family val="2"/>
      </rPr>
      <t>Fuente:</t>
    </r>
    <r>
      <rPr>
        <sz val="11"/>
        <color indexed="8"/>
        <rFont val="Calibri"/>
        <family val="2"/>
      </rPr>
      <t xml:space="preserve"> 
Información proporcionada por los Titulares Mineros a través del ESTAMIN.
(p) Preliminar
Las cifras han sido ajustadas a lo reportado por los Titulares Mineros al  21 de junio  de 2017                                                                                                                     D.G.H.H.</t>
    </r>
  </si>
  <si>
    <t>Total &lt;&lt;--No Registrado--&gt;&gt;</t>
  </si>
  <si>
    <t>LAGUNA SALINAS</t>
  </si>
  <si>
    <t>INKABOR S.A.C.</t>
  </si>
  <si>
    <t>Total LAGUNA SALINAS</t>
  </si>
  <si>
    <t>2006-05</t>
  </si>
  <si>
    <t>2007-05</t>
  </si>
  <si>
    <t>2008-05</t>
  </si>
  <si>
    <t>2009-05</t>
  </si>
  <si>
    <t>2010-05</t>
  </si>
  <si>
    <t>2011-05</t>
  </si>
  <si>
    <t>2012-05</t>
  </si>
  <si>
    <t>2013-05</t>
  </si>
  <si>
    <t>2014-05</t>
  </si>
  <si>
    <t>2015-05</t>
  </si>
  <si>
    <t>A MAYO</t>
  </si>
  <si>
    <r>
      <rPr>
        <b/>
        <sz val="16"/>
        <color indexed="56"/>
        <rFont val="Century Schoolbook"/>
        <family val="1"/>
      </rPr>
      <t>Sector Minero</t>
    </r>
    <r>
      <rPr>
        <sz val="16"/>
        <color indexed="56"/>
        <rFont val="Century Schoolbook"/>
        <family val="1"/>
      </rPr>
      <t xml:space="preserve"> - Distribución del Empleo Directo por Regiones - Mayo </t>
    </r>
    <r>
      <rPr>
        <b/>
        <sz val="16"/>
        <color indexed="56"/>
        <rFont val="Century Schoolbook"/>
        <family val="1"/>
      </rPr>
      <t>20l7</t>
    </r>
  </si>
  <si>
    <r>
      <t>Distribución del Empleo Directo por Regiones Mayo</t>
    </r>
    <r>
      <rPr>
        <b/>
        <sz val="14"/>
        <rFont val="Calibri"/>
        <family val="2"/>
      </rPr>
      <t xml:space="preserve"> 2017</t>
    </r>
  </si>
  <si>
    <r>
      <rPr>
        <b/>
        <sz val="11"/>
        <rFont val="Calibri"/>
        <family val="2"/>
      </rPr>
      <t>Fuente:</t>
    </r>
    <r>
      <rPr>
        <sz val="11"/>
        <rFont val="Calibri"/>
        <family val="2"/>
      </rPr>
      <t xml:space="preserve"> 
Información proporcionada por los Titulares Mineros a través del ESTAMIN.
(p) Preliminar
Las cifras han sido ajustadas a lo reportado por los Titulares Mineros al 21 de junio de 2017 </t>
    </r>
  </si>
  <si>
    <r>
      <t xml:space="preserve">Tendencias del Personal Ocupado en Minería en el mes de Mayo - </t>
    </r>
    <r>
      <rPr>
        <sz val="14"/>
        <color indexed="56"/>
        <rFont val="Century Schoolbook"/>
        <family val="1"/>
      </rPr>
      <t>Número de Trabajadores</t>
    </r>
  </si>
  <si>
    <r>
      <t xml:space="preserve">Comparativo de Nro. de Trabajadores Empleados en el Mes de Mayo </t>
    </r>
    <r>
      <rPr>
        <sz val="14"/>
        <rFont val="Calibri"/>
        <family val="2"/>
      </rPr>
      <t>de Cada Año Respectivamente</t>
    </r>
  </si>
  <si>
    <r>
      <rPr>
        <b/>
        <sz val="11"/>
        <rFont val="Calibri"/>
        <family val="2"/>
      </rPr>
      <t>Fuente:</t>
    </r>
    <r>
      <rPr>
        <sz val="11"/>
        <rFont val="Calibri"/>
        <family val="2"/>
      </rPr>
      <t xml:space="preserve"> 
Información proporcionada por los Titulares Mineros a través del ESTAMIN.
(p) Preliminar
Las cifras han sido ajustadas a lo reportado por los Titulares Mineros al 21 de junio de 2017</t>
    </r>
  </si>
  <si>
    <r>
      <rPr>
        <b/>
        <sz val="11"/>
        <rFont val="Calibri"/>
        <family val="2"/>
      </rPr>
      <t>Fuente:</t>
    </r>
    <r>
      <rPr>
        <sz val="11"/>
        <rFont val="Calibri"/>
        <family val="2"/>
      </rPr>
      <t xml:space="preserve"> 
Información proporcionada por los Titulares Mineros a través del ESTAMIN.
(p) Preliminar
Las cifras han sido ajustadas a lo reportado por los Titulares Mineros al  21 de junio  de 2017</t>
    </r>
  </si>
  <si>
    <t>A Mayo 2017</t>
  </si>
  <si>
    <t>A Mayo 2016</t>
  </si>
  <si>
    <t>Datos extraidos del  DATAMART de Minería el 19/06/2017</t>
  </si>
  <si>
    <t>COMPARADO AL MES DE MAYO</t>
  </si>
  <si>
    <t>Inversión a Mayo</t>
  </si>
  <si>
    <t>MILPO ANDINA PERÚ S.A.C.</t>
  </si>
  <si>
    <t>RIO TINTO MINERA PERU LIMITADA SAC</t>
  </si>
  <si>
    <t>JINZHAO MINING PERU S.A.</t>
  </si>
  <si>
    <t>S.M.R.L. SANTA BARBARA DE TRUJILLO</t>
  </si>
  <si>
    <t>INVERSION MINERA AL MES DE MAYO</t>
  </si>
  <si>
    <t/>
  </si>
  <si>
    <t>COMPARATIVO DE INVERSIONES REALIZADAS  POR LOS TITULARES MINEROS  AL MES DE MAYO</t>
  </si>
  <si>
    <t xml:space="preserve"> US $</t>
  </si>
  <si>
    <t>MINERA VICUS</t>
  </si>
  <si>
    <t>Total MINERA VICUS S.A.C.</t>
  </si>
  <si>
    <t>RANKING DE LAS PRINCIPALES EMPRESAS MINERAS INVERSIONISTAS SEGÚN RUBRO EN EL PERÚ - AL MES DE MAYO</t>
  </si>
  <si>
    <t>Acumulado al mes de Mayo</t>
  </si>
  <si>
    <t>MINERA LAYTARUMA S.A.</t>
  </si>
  <si>
    <t>•	COMPAÑÍA DE MINAS BUENAVENTURA S.A.A.</t>
  </si>
  <si>
    <t>Nd / Disponible 08 de Julio - BCRP</t>
  </si>
  <si>
    <t>EMPRESA ADMINISTRADORA CERRO S.A.C.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</si>
</sst>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 * #,##0.00_ ;_ * \-#,##0.00_ ;_ * &quot;-&quot;??_ ;_ @_ "/>
    <numFmt numFmtId="164" formatCode="_-* #,##0.00_-;\-* #,##0.00_-;_-* &quot;-&quot;??_-;_-@_-"/>
    <numFmt numFmtId="165" formatCode="_ * #,##0_ ;_ * \-#,##0_ ;_ * &quot;-&quot;??_ ;_ @_ "/>
    <numFmt numFmtId="166" formatCode="#,##0_ ;\-#,##0\ "/>
    <numFmt numFmtId="167" formatCode="#,##0.0"/>
    <numFmt numFmtId="168" formatCode="_(* #,##0.00_);_(* \(#,##0.00\);_(* &quot;-&quot;??_);_(@_)"/>
    <numFmt numFmtId="169" formatCode="_([$€]\ * #,##0.00_);_([$€]\ * \(#,##0.00\);_([$€]\ * &quot;-&quot;??_);_(@_)"/>
    <numFmt numFmtId="170" formatCode="_-* #,##0.00\ _P_t_s_-;\-* #,##0.00\ _P_t_s_-;_-* &quot;-&quot;??\ _P_t_s_-;_-@_-"/>
    <numFmt numFmtId="171" formatCode="_-* #,##0.00\ [$€]_-;\-* #,##0.00\ [$€]_-;_-* &quot;-&quot;??\ [$€]_-;_-@_-"/>
    <numFmt numFmtId="172" formatCode="_ * #,##0.0_ ;_ * \-#,##0.0_ ;_ * &quot;-&quot;??_ ;_ @_ "/>
    <numFmt numFmtId="173" formatCode="0.0%"/>
    <numFmt numFmtId="174" formatCode="0.0"/>
    <numFmt numFmtId="175" formatCode="0.000%"/>
    <numFmt numFmtId="176" formatCode="General_)"/>
    <numFmt numFmtId="177" formatCode="_ * #,##0.0000_ ;_ * \-#,##0.0000_ ;_ * &quot;-&quot;??_ ;_ @_ "/>
    <numFmt numFmtId="178" formatCode="#,##0.00_ ;\-#,##0.00\ "/>
    <numFmt numFmtId="179" formatCode="0.0000%"/>
    <numFmt numFmtId="180" formatCode="#,##0.000"/>
    <numFmt numFmtId="181" formatCode="_-* #,##0_-;\-* #,##0_-;_-* &quot;-&quot;??_-;_-@_-"/>
    <numFmt numFmtId="182" formatCode="#,##0;[Red]#,##0"/>
    <numFmt numFmtId="183" formatCode="0;[Red]0"/>
  </numFmts>
  <fonts count="1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i/>
      <sz val="11"/>
      <color theme="0" tint="-0.499984740745262"/>
      <name val="Calibri"/>
      <family val="2"/>
      <scheme val="minor"/>
    </font>
    <font>
      <b/>
      <i/>
      <sz val="9"/>
      <color theme="0" tint="-0.499984740745262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i/>
      <sz val="9"/>
      <color rgb="FF7F7F7F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sz val="12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7"/>
      <color indexed="9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color theme="0" tint="-0.499984740745262"/>
      <name val="Calibri"/>
      <family val="2"/>
      <scheme val="minor"/>
    </font>
    <font>
      <b/>
      <sz val="8"/>
      <name val="Arial"/>
      <family val="2"/>
    </font>
    <font>
      <b/>
      <sz val="8"/>
      <color theme="0"/>
      <name val="Arial"/>
      <family val="2"/>
    </font>
    <font>
      <sz val="7"/>
      <color theme="1"/>
      <name val="Arial"/>
      <family val="2"/>
    </font>
    <font>
      <b/>
      <u/>
      <sz val="8"/>
      <name val="Tms Rmn"/>
    </font>
    <font>
      <sz val="8"/>
      <name val="Tms Rmn"/>
    </font>
    <font>
      <b/>
      <i/>
      <sz val="8"/>
      <name val="Tms Rmn"/>
    </font>
    <font>
      <b/>
      <sz val="8"/>
      <name val="Tms Rmn"/>
    </font>
    <font>
      <b/>
      <sz val="9"/>
      <name val="Bookman"/>
      <family val="1"/>
    </font>
    <font>
      <sz val="7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u/>
      <sz val="12"/>
      <name val="Century Gothic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b/>
      <sz val="8"/>
      <color indexed="9"/>
      <name val="Verdana"/>
      <family val="2"/>
    </font>
    <font>
      <b/>
      <sz val="11"/>
      <color indexed="9"/>
      <name val="Arial"/>
      <family val="2"/>
    </font>
    <font>
      <sz val="10"/>
      <color theme="1"/>
      <name val="Arial"/>
      <family val="2"/>
    </font>
    <font>
      <b/>
      <sz val="10"/>
      <name val="Verdana"/>
      <family val="2"/>
    </font>
    <font>
      <b/>
      <sz val="8.5"/>
      <name val="Verdana"/>
      <family val="2"/>
    </font>
    <font>
      <b/>
      <sz val="10"/>
      <color rgb="FF3333FF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sz val="8"/>
      <color indexed="8"/>
      <name val="Tahoma"/>
      <family val="2"/>
    </font>
    <font>
      <sz val="8"/>
      <name val="Tahoma"/>
      <family val="2"/>
    </font>
    <font>
      <u/>
      <sz val="11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sz val="11"/>
      <color rgb="FFFF0000"/>
      <name val="Arial"/>
      <family val="2"/>
    </font>
    <font>
      <b/>
      <u val="double"/>
      <sz val="12"/>
      <name val="Century Gothic"/>
      <family val="2"/>
    </font>
    <font>
      <b/>
      <sz val="10"/>
      <name val="Century Gothic"/>
      <family val="2"/>
    </font>
    <font>
      <sz val="11"/>
      <color rgb="FF0070C0"/>
      <name val="Calibri"/>
      <family val="2"/>
      <scheme val="minor"/>
    </font>
    <font>
      <sz val="11"/>
      <color theme="1"/>
      <name val="Arial"/>
      <family val="2"/>
    </font>
    <font>
      <b/>
      <sz val="12"/>
      <name val="Century Gothic"/>
      <family val="2"/>
    </font>
    <font>
      <b/>
      <sz val="11"/>
      <color indexed="8"/>
      <name val="Arial"/>
      <family val="2"/>
    </font>
    <font>
      <b/>
      <sz val="11"/>
      <color rgb="FF005392"/>
      <name val="Arial"/>
      <family val="2"/>
    </font>
    <font>
      <b/>
      <sz val="9"/>
      <name val="Arial"/>
      <family val="2"/>
    </font>
    <font>
      <sz val="20"/>
      <color theme="0"/>
      <name val="Bodoni MT"/>
      <family val="1"/>
    </font>
    <font>
      <sz val="14"/>
      <color theme="0"/>
      <name val="Arial Unicode MS"/>
      <family val="2"/>
    </font>
    <font>
      <sz val="14"/>
      <color theme="0"/>
      <name val="Candara"/>
      <family val="2"/>
    </font>
    <font>
      <b/>
      <sz val="8"/>
      <color theme="1"/>
      <name val="Tahoma"/>
      <family val="2"/>
    </font>
    <font>
      <sz val="11"/>
      <name val="Calibri"/>
      <family val="2"/>
    </font>
    <font>
      <b/>
      <sz val="11"/>
      <name val="Calibri"/>
      <family val="2"/>
    </font>
    <font>
      <sz val="16"/>
      <color indexed="56"/>
      <name val="Century Schoolbook"/>
      <family val="1"/>
    </font>
    <font>
      <b/>
      <sz val="16"/>
      <color indexed="56"/>
      <name val="Century Schoolbook"/>
      <family val="1"/>
    </font>
    <font>
      <sz val="14"/>
      <name val="Calibri"/>
      <family val="2"/>
      <scheme val="minor"/>
    </font>
    <font>
      <b/>
      <sz val="14"/>
      <name val="Calibri"/>
      <family val="2"/>
    </font>
    <font>
      <sz val="11"/>
      <color theme="1"/>
      <name val="Calibri"/>
      <family val="2"/>
    </font>
    <font>
      <sz val="14"/>
      <color indexed="56"/>
      <name val="Century Schoolbook"/>
      <family val="1"/>
    </font>
    <font>
      <sz val="14"/>
      <name val="Calibri"/>
      <family val="2"/>
    </font>
    <font>
      <sz val="12"/>
      <name val="Bookman Old Style"/>
      <family val="1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</font>
    <font>
      <sz val="14"/>
      <color theme="1"/>
      <name val="Arial Unicode MS"/>
      <family val="2"/>
    </font>
    <font>
      <sz val="14"/>
      <color theme="1"/>
      <name val="Candara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Bookman Old Style"/>
      <family val="1"/>
    </font>
    <font>
      <sz val="9"/>
      <color theme="1"/>
      <name val="Bookman Old Style"/>
      <family val="1"/>
    </font>
    <font>
      <b/>
      <sz val="9"/>
      <color theme="1"/>
      <name val="Bookman Old Style"/>
      <family val="1"/>
    </font>
    <font>
      <sz val="9"/>
      <color theme="0"/>
      <name val="Bookman Old Style"/>
      <family val="1"/>
    </font>
  </fonts>
  <fills count="5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674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8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gray125">
        <fgColor indexed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</fills>
  <borders count="9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167447"/>
      </left>
      <right/>
      <top style="medium">
        <color rgb="FF167447"/>
      </top>
      <bottom/>
      <diagonal/>
    </border>
    <border>
      <left/>
      <right style="medium">
        <color rgb="FF167447"/>
      </right>
      <top style="medium">
        <color rgb="FF167447"/>
      </top>
      <bottom/>
      <diagonal/>
    </border>
    <border>
      <left style="medium">
        <color rgb="FF167447"/>
      </left>
      <right/>
      <top style="mediumDashed">
        <color rgb="FF167447"/>
      </top>
      <bottom/>
      <diagonal/>
    </border>
    <border>
      <left/>
      <right style="mediumDashed">
        <color rgb="FF167447"/>
      </right>
      <top style="mediumDashed">
        <color rgb="FF167447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ck">
        <color indexed="9"/>
      </top>
      <bottom style="thick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 style="dotted">
        <color auto="1"/>
      </right>
      <top style="medium">
        <color indexed="64"/>
      </top>
      <bottom/>
      <diagonal/>
    </border>
    <border>
      <left style="medium">
        <color indexed="64"/>
      </left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 style="medium">
        <color indexed="64"/>
      </left>
      <right style="dotted">
        <color auto="1"/>
      </right>
      <top/>
      <bottom style="dotted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auto="1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13">
    <xf numFmtId="0" fontId="0" fillId="0" borderId="0"/>
    <xf numFmtId="0" fontId="3" fillId="2" borderId="0">
      <alignment horizontal="left"/>
    </xf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" fontId="24" fillId="0" borderId="0"/>
    <xf numFmtId="0" fontId="25" fillId="8" borderId="0" applyNumberFormat="0" applyBorder="0" applyAlignment="0" applyProtection="0"/>
    <xf numFmtId="0" fontId="26" fillId="20" borderId="20" applyNumberFormat="0" applyAlignment="0" applyProtection="0"/>
    <xf numFmtId="0" fontId="27" fillId="21" borderId="21" applyNumberFormat="0" applyAlignment="0" applyProtection="0"/>
    <xf numFmtId="0" fontId="28" fillId="0" borderId="22" applyNumberFormat="0" applyFill="0" applyAlignment="0" applyProtection="0"/>
    <xf numFmtId="0" fontId="29" fillId="22" borderId="23">
      <alignment wrapText="1"/>
    </xf>
    <xf numFmtId="168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32" fillId="11" borderId="20" applyNumberFormat="0" applyAlignment="0" applyProtection="0"/>
    <xf numFmtId="169" fontId="3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3" fillId="7" borderId="0" applyNumberFormat="0" applyBorder="0" applyAlignment="0" applyProtection="0"/>
    <xf numFmtId="164" fontId="30" fillId="0" borderId="0" applyFont="0" applyFill="0" applyBorder="0" applyAlignment="0" applyProtection="0"/>
    <xf numFmtId="0" fontId="34" fillId="27" borderId="0" applyNumberFormat="0" applyBorder="0" applyAlignment="0" applyProtection="0"/>
    <xf numFmtId="0" fontId="21" fillId="0" borderId="0"/>
    <xf numFmtId="0" fontId="9" fillId="0" borderId="0"/>
    <xf numFmtId="0" fontId="20" fillId="0" borderId="0"/>
    <xf numFmtId="0" fontId="22" fillId="0" borderId="0"/>
    <xf numFmtId="0" fontId="9" fillId="0" borderId="0"/>
    <xf numFmtId="0" fontId="19" fillId="0" borderId="0"/>
    <xf numFmtId="0" fontId="30" fillId="0" borderId="0"/>
    <xf numFmtId="0" fontId="30" fillId="28" borderId="24" applyNumberFormat="0" applyFont="0" applyAlignment="0" applyProtection="0"/>
    <xf numFmtId="9" fontId="2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5" fillId="20" borderId="2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6" applyNumberFormat="0" applyFill="0" applyAlignment="0" applyProtection="0"/>
    <xf numFmtId="0" fontId="39" fillId="0" borderId="27" applyNumberFormat="0" applyFill="0" applyAlignment="0" applyProtection="0"/>
    <xf numFmtId="0" fontId="31" fillId="0" borderId="2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29" applyNumberFormat="0" applyFill="0" applyAlignment="0" applyProtection="0"/>
    <xf numFmtId="170" fontId="20" fillId="0" borderId="0" applyFont="0" applyFill="0" applyBorder="0" applyAlignment="0" applyProtection="0"/>
    <xf numFmtId="16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9" fillId="0" borderId="0"/>
    <xf numFmtId="0" fontId="4" fillId="0" borderId="0"/>
    <xf numFmtId="0" fontId="9" fillId="28" borderId="24" applyNumberFormat="0" applyFon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42" fillId="0" borderId="0"/>
    <xf numFmtId="171" fontId="19" fillId="0" borderId="0" applyFont="0" applyFill="0" applyBorder="0" applyAlignment="0" applyProtection="0"/>
    <xf numFmtId="0" fontId="19" fillId="0" borderId="0"/>
    <xf numFmtId="0" fontId="19" fillId="0" borderId="0"/>
    <xf numFmtId="0" fontId="9" fillId="0" borderId="0"/>
    <xf numFmtId="0" fontId="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0" borderId="0"/>
    <xf numFmtId="0" fontId="22" fillId="0" borderId="0"/>
    <xf numFmtId="0" fontId="22" fillId="28" borderId="24" applyNumberFormat="0" applyFont="0" applyAlignment="0" applyProtection="0"/>
    <xf numFmtId="0" fontId="22" fillId="28" borderId="24" applyNumberFormat="0" applyFont="0" applyAlignment="0" applyProtection="0"/>
    <xf numFmtId="0" fontId="22" fillId="28" borderId="24" applyNumberFormat="0" applyFont="0" applyAlignment="0" applyProtection="0"/>
    <xf numFmtId="0" fontId="22" fillId="28" borderId="24" applyNumberFormat="0" applyFont="0" applyAlignment="0" applyProtection="0"/>
    <xf numFmtId="0" fontId="22" fillId="28" borderId="24" applyNumberFormat="0" applyFont="0" applyAlignment="0" applyProtection="0"/>
    <xf numFmtId="0" fontId="22" fillId="28" borderId="24" applyNumberFormat="0" applyFont="0" applyAlignment="0" applyProtection="0"/>
    <xf numFmtId="0" fontId="22" fillId="28" borderId="24" applyNumberFormat="0" applyFont="0" applyAlignment="0" applyProtection="0"/>
    <xf numFmtId="0" fontId="22" fillId="28" borderId="24" applyNumberFormat="0" applyFont="0" applyAlignment="0" applyProtection="0"/>
    <xf numFmtId="0" fontId="22" fillId="28" borderId="24" applyNumberFormat="0" applyFont="0" applyAlignment="0" applyProtection="0"/>
    <xf numFmtId="0" fontId="22" fillId="28" borderId="24" applyNumberFormat="0" applyFont="0" applyAlignment="0" applyProtection="0"/>
    <xf numFmtId="0" fontId="9" fillId="0" borderId="0"/>
    <xf numFmtId="0" fontId="43" fillId="0" borderId="0"/>
    <xf numFmtId="170" fontId="43" fillId="0" borderId="0" applyFont="0" applyFill="0" applyBorder="0" applyAlignment="0" applyProtection="0"/>
    <xf numFmtId="176" fontId="50" fillId="0" borderId="0"/>
    <xf numFmtId="176" fontId="51" fillId="0" borderId="0"/>
    <xf numFmtId="176" fontId="52" fillId="0" borderId="0"/>
    <xf numFmtId="176" fontId="53" fillId="33" borderId="0"/>
    <xf numFmtId="176" fontId="54" fillId="0" borderId="0"/>
    <xf numFmtId="170" fontId="9" fillId="0" borderId="0" applyFont="0" applyFill="0" applyBorder="0" applyAlignment="0" applyProtection="0"/>
  </cellStyleXfs>
  <cellXfs count="623">
    <xf numFmtId="0" fontId="0" fillId="0" borderId="0" xfId="0"/>
    <xf numFmtId="0" fontId="1" fillId="2" borderId="0" xfId="0" applyFont="1" applyFill="1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left"/>
    </xf>
    <xf numFmtId="10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1">
      <alignment horizontal="left"/>
    </xf>
    <xf numFmtId="0" fontId="2" fillId="2" borderId="0" xfId="1" applyFont="1">
      <alignment horizontal="left"/>
    </xf>
    <xf numFmtId="0" fontId="3" fillId="2" borderId="0" xfId="1" applyAlignment="1">
      <alignment horizontal="center"/>
    </xf>
    <xf numFmtId="0" fontId="2" fillId="2" borderId="0" xfId="1" applyFont="1" applyAlignment="1">
      <alignment horizontal="center"/>
    </xf>
    <xf numFmtId="3" fontId="3" fillId="2" borderId="0" xfId="1" applyNumberFormat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1" xfId="1" applyFont="1" applyBorder="1" applyAlignment="1">
      <alignment horizontal="center"/>
    </xf>
    <xf numFmtId="3" fontId="2" fillId="2" borderId="1" xfId="1" applyNumberFormat="1" applyFont="1" applyBorder="1" applyAlignment="1">
      <alignment horizontal="center"/>
    </xf>
    <xf numFmtId="4" fontId="3" fillId="2" borderId="0" xfId="1" applyNumberFormat="1" applyAlignment="1">
      <alignment horizontal="center"/>
    </xf>
    <xf numFmtId="0" fontId="5" fillId="3" borderId="0" xfId="1" applyFont="1" applyFill="1" applyAlignment="1">
      <alignment horizontal="center"/>
    </xf>
    <xf numFmtId="0" fontId="7" fillId="2" borderId="2" xfId="1" applyFont="1" applyBorder="1" applyAlignment="1">
      <alignment horizontal="center"/>
    </xf>
    <xf numFmtId="10" fontId="3" fillId="2" borderId="0" xfId="3" applyNumberFormat="1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166" fontId="3" fillId="2" borderId="0" xfId="2" applyNumberFormat="1" applyFont="1" applyFill="1" applyAlignment="1">
      <alignment horizontal="center"/>
    </xf>
    <xf numFmtId="3" fontId="3" fillId="2" borderId="0" xfId="2" applyNumberFormat="1" applyFont="1" applyFill="1" applyAlignment="1">
      <alignment horizontal="center"/>
    </xf>
    <xf numFmtId="3" fontId="3" fillId="2" borderId="0" xfId="1" applyNumberFormat="1" applyBorder="1" applyAlignment="1">
      <alignment horizontal="center"/>
    </xf>
    <xf numFmtId="0" fontId="2" fillId="2" borderId="16" xfId="1" applyFont="1" applyBorder="1" applyAlignment="1">
      <alignment horizontal="center"/>
    </xf>
    <xf numFmtId="3" fontId="3" fillId="2" borderId="7" xfId="1" applyNumberFormat="1" applyBorder="1" applyAlignment="1">
      <alignment horizontal="center"/>
    </xf>
    <xf numFmtId="0" fontId="3" fillId="2" borderId="0" xfId="1" applyBorder="1" applyAlignment="1">
      <alignment horizontal="center"/>
    </xf>
    <xf numFmtId="0" fontId="3" fillId="2" borderId="7" xfId="1" applyBorder="1" applyAlignment="1">
      <alignment horizontal="center"/>
    </xf>
    <xf numFmtId="0" fontId="3" fillId="2" borderId="0" xfId="1" applyFill="1" applyAlignment="1">
      <alignment horizontal="center"/>
    </xf>
    <xf numFmtId="0" fontId="5" fillId="2" borderId="0" xfId="1" applyFont="1" applyFill="1" applyAlignment="1">
      <alignment horizontal="center"/>
    </xf>
    <xf numFmtId="0" fontId="3" fillId="2" borderId="0" xfId="1" applyFill="1">
      <alignment horizontal="left"/>
    </xf>
    <xf numFmtId="0" fontId="3" fillId="2" borderId="0" xfId="1" applyAlignment="1"/>
    <xf numFmtId="0" fontId="1" fillId="2" borderId="0" xfId="0" applyFont="1" applyFill="1" applyAlignment="1"/>
    <xf numFmtId="0" fontId="2" fillId="2" borderId="1" xfId="1" applyFont="1" applyBorder="1" applyAlignment="1"/>
    <xf numFmtId="3" fontId="3" fillId="2" borderId="0" xfId="1" applyNumberFormat="1" applyAlignment="1">
      <alignment horizontal="right"/>
    </xf>
    <xf numFmtId="3" fontId="2" fillId="2" borderId="1" xfId="1" applyNumberFormat="1" applyFont="1" applyBorder="1" applyAlignment="1">
      <alignment horizontal="right"/>
    </xf>
    <xf numFmtId="10" fontId="0" fillId="2" borderId="0" xfId="3" applyNumberFormat="1" applyFont="1" applyFill="1"/>
    <xf numFmtId="3" fontId="0" fillId="2" borderId="0" xfId="0" applyNumberFormat="1" applyFill="1"/>
    <xf numFmtId="0" fontId="1" fillId="2" borderId="1" xfId="0" applyFont="1" applyFill="1" applyBorder="1"/>
    <xf numFmtId="3" fontId="1" fillId="2" borderId="1" xfId="0" applyNumberFormat="1" applyFont="1" applyFill="1" applyBorder="1"/>
    <xf numFmtId="10" fontId="1" fillId="2" borderId="1" xfId="3" applyNumberFormat="1" applyFont="1" applyFill="1" applyBorder="1"/>
    <xf numFmtId="0" fontId="8" fillId="2" borderId="0" xfId="0" applyFont="1" applyFill="1"/>
    <xf numFmtId="3" fontId="8" fillId="2" borderId="0" xfId="0" applyNumberFormat="1" applyFont="1" applyFill="1"/>
    <xf numFmtId="0" fontId="3" fillId="2" borderId="0" xfId="0" applyFont="1" applyFill="1" applyBorder="1" applyAlignment="1">
      <alignment horizontal="center"/>
    </xf>
    <xf numFmtId="0" fontId="13" fillId="5" borderId="0" xfId="0" applyFont="1" applyFill="1"/>
    <xf numFmtId="0" fontId="11" fillId="2" borderId="0" xfId="1" applyFont="1" applyAlignment="1">
      <alignment horizontal="left"/>
    </xf>
    <xf numFmtId="0" fontId="14" fillId="5" borderId="0" xfId="0" applyFont="1" applyFill="1" applyAlignment="1">
      <alignment horizontal="center"/>
    </xf>
    <xf numFmtId="0" fontId="11" fillId="2" borderId="0" xfId="1" applyFont="1" applyAlignment="1">
      <alignment horizontal="center"/>
    </xf>
    <xf numFmtId="0" fontId="11" fillId="2" borderId="0" xfId="0" applyFont="1" applyFill="1" applyBorder="1" applyAlignment="1">
      <alignment horizontal="left"/>
    </xf>
    <xf numFmtId="4" fontId="14" fillId="5" borderId="0" xfId="0" applyNumberFormat="1" applyFont="1" applyFill="1" applyAlignment="1">
      <alignment horizontal="center"/>
    </xf>
    <xf numFmtId="0" fontId="11" fillId="2" borderId="0" xfId="0" applyFont="1" applyFill="1"/>
    <xf numFmtId="0" fontId="11" fillId="2" borderId="0" xfId="1" applyFont="1">
      <alignment horizontal="left"/>
    </xf>
    <xf numFmtId="0" fontId="15" fillId="2" borderId="0" xfId="1" applyFont="1">
      <alignment horizontal="left"/>
    </xf>
    <xf numFmtId="0" fontId="12" fillId="2" borderId="0" xfId="1" applyFont="1">
      <alignment horizontal="left"/>
    </xf>
    <xf numFmtId="0" fontId="11" fillId="2" borderId="0" xfId="0" applyFont="1" applyFill="1" applyBorder="1" applyAlignment="1">
      <alignment horizontal="center"/>
    </xf>
    <xf numFmtId="0" fontId="15" fillId="2" borderId="0" xfId="1" applyFont="1" applyAlignment="1">
      <alignment horizontal="center"/>
    </xf>
    <xf numFmtId="0" fontId="11" fillId="2" borderId="0" xfId="1" applyFont="1" applyAlignment="1"/>
    <xf numFmtId="4" fontId="11" fillId="2" borderId="0" xfId="1" applyNumberFormat="1" applyFont="1" applyAlignment="1">
      <alignment horizontal="center"/>
    </xf>
    <xf numFmtId="4" fontId="3" fillId="2" borderId="0" xfId="1" applyNumberFormat="1">
      <alignment horizontal="left"/>
    </xf>
    <xf numFmtId="3" fontId="3" fillId="2" borderId="0" xfId="1" applyNumberFormat="1" applyAlignment="1">
      <alignment horizontal="left"/>
    </xf>
    <xf numFmtId="3" fontId="2" fillId="2" borderId="1" xfId="1" applyNumberFormat="1" applyFont="1" applyBorder="1" applyAlignment="1">
      <alignment horizontal="left"/>
    </xf>
    <xf numFmtId="10" fontId="2" fillId="2" borderId="1" xfId="3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center"/>
    </xf>
    <xf numFmtId="0" fontId="12" fillId="2" borderId="0" xfId="0" applyFont="1" applyFill="1"/>
    <xf numFmtId="0" fontId="12" fillId="2" borderId="0" xfId="1" applyFont="1" applyAlignment="1">
      <alignment horizontal="center"/>
    </xf>
    <xf numFmtId="0" fontId="10" fillId="2" borderId="0" xfId="1" applyFont="1" applyAlignment="1">
      <alignment horizontal="left"/>
    </xf>
    <xf numFmtId="0" fontId="10" fillId="2" borderId="0" xfId="1" applyFont="1" applyAlignment="1">
      <alignment horizontal="center"/>
    </xf>
    <xf numFmtId="0" fontId="10" fillId="2" borderId="0" xfId="1" applyFont="1">
      <alignment horizontal="left"/>
    </xf>
    <xf numFmtId="0" fontId="11" fillId="2" borderId="0" xfId="1" applyFont="1" applyFill="1" applyAlignment="1">
      <alignment horizontal="left"/>
    </xf>
    <xf numFmtId="3" fontId="2" fillId="2" borderId="0" xfId="1" applyNumberFormat="1" applyFont="1" applyBorder="1" applyAlignment="1">
      <alignment horizontal="center"/>
    </xf>
    <xf numFmtId="10" fontId="2" fillId="2" borderId="0" xfId="3" applyNumberFormat="1" applyFont="1" applyFill="1" applyBorder="1" applyAlignment="1">
      <alignment horizontal="center"/>
    </xf>
    <xf numFmtId="3" fontId="11" fillId="2" borderId="0" xfId="1" applyNumberFormat="1" applyFont="1" applyBorder="1" applyAlignment="1">
      <alignment horizontal="left"/>
    </xf>
    <xf numFmtId="4" fontId="12" fillId="2" borderId="0" xfId="1" applyNumberFormat="1" applyFont="1" applyAlignment="1">
      <alignment horizontal="center"/>
    </xf>
    <xf numFmtId="4" fontId="15" fillId="2" borderId="0" xfId="1" applyNumberFormat="1" applyFont="1" applyAlignment="1">
      <alignment horizontal="center"/>
    </xf>
    <xf numFmtId="0" fontId="15" fillId="2" borderId="0" xfId="1" applyFont="1" applyBorder="1" applyAlignment="1">
      <alignment horizontal="center"/>
    </xf>
    <xf numFmtId="0" fontId="16" fillId="2" borderId="0" xfId="0" applyFont="1" applyFill="1"/>
    <xf numFmtId="0" fontId="18" fillId="2" borderId="0" xfId="1" applyFont="1">
      <alignment horizontal="left"/>
    </xf>
    <xf numFmtId="167" fontId="3" fillId="2" borderId="0" xfId="1" applyNumberFormat="1" applyAlignment="1">
      <alignment horizontal="center"/>
    </xf>
    <xf numFmtId="0" fontId="10" fillId="2" borderId="0" xfId="0" applyFont="1" applyFill="1" applyAlignment="1"/>
    <xf numFmtId="167" fontId="3" fillId="2" borderId="18" xfId="1" applyNumberFormat="1" applyBorder="1" applyAlignment="1">
      <alignment horizontal="center"/>
    </xf>
    <xf numFmtId="167" fontId="3" fillId="2" borderId="19" xfId="1" applyNumberFormat="1" applyBorder="1" applyAlignment="1">
      <alignment horizontal="center"/>
    </xf>
    <xf numFmtId="167" fontId="3" fillId="2" borderId="17" xfId="1" applyNumberFormat="1" applyBorder="1" applyAlignment="1">
      <alignment horizontal="center"/>
    </xf>
    <xf numFmtId="0" fontId="5" fillId="4" borderId="34" xfId="1" applyFont="1" applyFill="1" applyBorder="1" applyAlignment="1">
      <alignment horizontal="center"/>
    </xf>
    <xf numFmtId="3" fontId="3" fillId="2" borderId="31" xfId="2" applyNumberFormat="1" applyFont="1" applyFill="1" applyBorder="1" applyAlignment="1">
      <alignment horizontal="center"/>
    </xf>
    <xf numFmtId="3" fontId="3" fillId="2" borderId="30" xfId="2" applyNumberFormat="1" applyFont="1" applyFill="1" applyBorder="1" applyAlignment="1">
      <alignment horizontal="center"/>
    </xf>
    <xf numFmtId="167" fontId="3" fillId="2" borderId="0" xfId="1" applyNumberFormat="1" applyAlignment="1">
      <alignment horizontal="left"/>
    </xf>
    <xf numFmtId="3" fontId="3" fillId="2" borderId="33" xfId="2" applyNumberFormat="1" applyFont="1" applyFill="1" applyBorder="1" applyAlignment="1">
      <alignment horizontal="center"/>
    </xf>
    <xf numFmtId="3" fontId="3" fillId="2" borderId="32" xfId="2" applyNumberFormat="1" applyFont="1" applyFill="1" applyBorder="1" applyAlignment="1">
      <alignment horizontal="center"/>
    </xf>
    <xf numFmtId="3" fontId="3" fillId="2" borderId="35" xfId="2" applyNumberFormat="1" applyFont="1" applyFill="1" applyBorder="1" applyAlignment="1">
      <alignment horizontal="center"/>
    </xf>
    <xf numFmtId="3" fontId="3" fillId="2" borderId="36" xfId="2" applyNumberFormat="1" applyFont="1" applyFill="1" applyBorder="1" applyAlignment="1">
      <alignment horizontal="center"/>
    </xf>
    <xf numFmtId="0" fontId="2" fillId="2" borderId="10" xfId="1" applyFont="1" applyBorder="1" applyAlignment="1">
      <alignment horizontal="center"/>
    </xf>
    <xf numFmtId="3" fontId="3" fillId="2" borderId="6" xfId="1" applyNumberFormat="1" applyBorder="1" applyAlignment="1">
      <alignment horizontal="center"/>
    </xf>
    <xf numFmtId="3" fontId="2" fillId="2" borderId="37" xfId="1" applyNumberFormat="1" applyFont="1" applyBorder="1" applyAlignment="1">
      <alignment horizontal="center"/>
    </xf>
    <xf numFmtId="3" fontId="2" fillId="2" borderId="3" xfId="1" applyNumberFormat="1" applyFont="1" applyBorder="1" applyAlignment="1">
      <alignment horizontal="center"/>
    </xf>
    <xf numFmtId="3" fontId="2" fillId="2" borderId="38" xfId="1" applyNumberFormat="1" applyFont="1" applyBorder="1" applyAlignment="1">
      <alignment horizontal="center"/>
    </xf>
    <xf numFmtId="3" fontId="3" fillId="2" borderId="39" xfId="0" applyNumberFormat="1" applyFont="1" applyFill="1" applyBorder="1" applyAlignment="1">
      <alignment horizontal="center"/>
    </xf>
    <xf numFmtId="0" fontId="3" fillId="2" borderId="39" xfId="0" applyFont="1" applyFill="1" applyBorder="1" applyAlignment="1">
      <alignment horizontal="left"/>
    </xf>
    <xf numFmtId="10" fontId="3" fillId="2" borderId="39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left"/>
    </xf>
    <xf numFmtId="0" fontId="5" fillId="2" borderId="0" xfId="1" applyFont="1" applyFill="1" applyAlignment="1"/>
    <xf numFmtId="1" fontId="3" fillId="2" borderId="7" xfId="1" applyNumberFormat="1" applyFill="1" applyBorder="1" applyAlignment="1">
      <alignment horizontal="center"/>
    </xf>
    <xf numFmtId="3" fontId="44" fillId="2" borderId="0" xfId="0" applyNumberFormat="1" applyFont="1" applyFill="1" applyBorder="1" applyAlignment="1">
      <alignment horizontal="left" vertical="center"/>
    </xf>
    <xf numFmtId="3" fontId="0" fillId="2" borderId="1" xfId="0" applyNumberFormat="1" applyFill="1" applyBorder="1"/>
    <xf numFmtId="0" fontId="0" fillId="2" borderId="1" xfId="0" applyFill="1" applyBorder="1"/>
    <xf numFmtId="10" fontId="0" fillId="2" borderId="1" xfId="3" applyNumberFormat="1" applyFont="1" applyFill="1" applyBorder="1"/>
    <xf numFmtId="0" fontId="5" fillId="4" borderId="0" xfId="1" applyFont="1" applyFill="1" applyAlignment="1">
      <alignment horizontal="center"/>
    </xf>
    <xf numFmtId="0" fontId="45" fillId="2" borderId="0" xfId="0" applyFont="1" applyFill="1"/>
    <xf numFmtId="3" fontId="16" fillId="2" borderId="0" xfId="1" applyNumberFormat="1" applyFont="1" applyFill="1" applyAlignment="1">
      <alignment horizontal="center"/>
    </xf>
    <xf numFmtId="0" fontId="16" fillId="2" borderId="0" xfId="1" applyFont="1" applyFill="1">
      <alignment horizontal="left"/>
    </xf>
    <xf numFmtId="0" fontId="45" fillId="2" borderId="0" xfId="0" applyFont="1" applyFill="1" applyAlignment="1">
      <alignment horizontal="left"/>
    </xf>
    <xf numFmtId="0" fontId="46" fillId="2" borderId="0" xfId="1" applyFont="1" applyFill="1" applyAlignment="1">
      <alignment horizontal="left"/>
    </xf>
    <xf numFmtId="3" fontId="46" fillId="2" borderId="0" xfId="1" applyNumberFormat="1" applyFont="1" applyFill="1" applyAlignment="1">
      <alignment horizontal="center"/>
    </xf>
    <xf numFmtId="0" fontId="46" fillId="2" borderId="0" xfId="1" applyFont="1" applyFill="1">
      <alignment horizontal="left"/>
    </xf>
    <xf numFmtId="0" fontId="17" fillId="4" borderId="0" xfId="1" applyFont="1" applyFill="1" applyAlignment="1">
      <alignment horizontal="left"/>
    </xf>
    <xf numFmtId="1" fontId="17" fillId="4" borderId="0" xfId="1" applyNumberFormat="1" applyFont="1" applyFill="1" applyAlignment="1">
      <alignment horizontal="center"/>
    </xf>
    <xf numFmtId="3" fontId="17" fillId="4" borderId="0" xfId="1" applyNumberFormat="1" applyFont="1" applyFill="1" applyAlignment="1">
      <alignment horizontal="center"/>
    </xf>
    <xf numFmtId="0" fontId="17" fillId="2" borderId="0" xfId="1" applyFont="1" applyFill="1" applyAlignment="1">
      <alignment horizontal="left"/>
    </xf>
    <xf numFmtId="1" fontId="17" fillId="2" borderId="0" xfId="1" applyNumberFormat="1" applyFont="1" applyFill="1" applyAlignment="1">
      <alignment horizontal="center"/>
    </xf>
    <xf numFmtId="3" fontId="17" fillId="2" borderId="0" xfId="1" applyNumberFormat="1" applyFont="1" applyFill="1" applyAlignment="1">
      <alignment horizontal="center"/>
    </xf>
    <xf numFmtId="0" fontId="16" fillId="2" borderId="0" xfId="1" applyFont="1" applyFill="1" applyAlignment="1">
      <alignment horizontal="left"/>
    </xf>
    <xf numFmtId="3" fontId="16" fillId="2" borderId="12" xfId="1" applyNumberFormat="1" applyFont="1" applyFill="1" applyBorder="1" applyAlignment="1">
      <alignment horizontal="center"/>
    </xf>
    <xf numFmtId="3" fontId="16" fillId="2" borderId="13" xfId="1" applyNumberFormat="1" applyFont="1" applyFill="1" applyBorder="1" applyAlignment="1">
      <alignment horizontal="center"/>
    </xf>
    <xf numFmtId="3" fontId="16" fillId="2" borderId="14" xfId="1" applyNumberFormat="1" applyFont="1" applyFill="1" applyBorder="1" applyAlignment="1">
      <alignment horizontal="center"/>
    </xf>
    <xf numFmtId="3" fontId="16" fillId="2" borderId="15" xfId="1" applyNumberFormat="1" applyFont="1" applyFill="1" applyBorder="1" applyAlignment="1">
      <alignment horizontal="center"/>
    </xf>
    <xf numFmtId="3" fontId="16" fillId="2" borderId="0" xfId="1" applyNumberFormat="1" applyFont="1" applyFill="1" applyBorder="1" applyAlignment="1">
      <alignment horizontal="center"/>
    </xf>
    <xf numFmtId="0" fontId="45" fillId="2" borderId="2" xfId="1" applyFont="1" applyFill="1" applyBorder="1" applyAlignment="1">
      <alignment horizontal="left"/>
    </xf>
    <xf numFmtId="3" fontId="45" fillId="2" borderId="2" xfId="1" applyNumberFormat="1" applyFont="1" applyFill="1" applyBorder="1" applyAlignment="1">
      <alignment horizontal="center"/>
    </xf>
    <xf numFmtId="3" fontId="45" fillId="2" borderId="4" xfId="1" applyNumberFormat="1" applyFont="1" applyFill="1" applyBorder="1" applyAlignment="1">
      <alignment horizontal="center"/>
    </xf>
    <xf numFmtId="9" fontId="45" fillId="2" borderId="5" xfId="3" applyFont="1" applyFill="1" applyBorder="1" applyAlignment="1">
      <alignment horizontal="center"/>
    </xf>
    <xf numFmtId="10" fontId="45" fillId="2" borderId="2" xfId="3" applyNumberFormat="1" applyFont="1" applyFill="1" applyBorder="1" applyAlignment="1">
      <alignment horizontal="center"/>
    </xf>
    <xf numFmtId="165" fontId="16" fillId="2" borderId="0" xfId="2" applyNumberFormat="1" applyFont="1" applyFill="1" applyAlignment="1"/>
    <xf numFmtId="3" fontId="16" fillId="2" borderId="0" xfId="2" applyNumberFormat="1" applyFont="1" applyFill="1" applyAlignment="1">
      <alignment horizontal="center"/>
    </xf>
    <xf numFmtId="3" fontId="16" fillId="2" borderId="6" xfId="2" applyNumberFormat="1" applyFont="1" applyFill="1" applyBorder="1" applyAlignment="1">
      <alignment horizontal="center"/>
    </xf>
    <xf numFmtId="10" fontId="16" fillId="2" borderId="7" xfId="3" applyNumberFormat="1" applyFont="1" applyFill="1" applyBorder="1" applyAlignment="1">
      <alignment horizontal="center"/>
    </xf>
    <xf numFmtId="10" fontId="16" fillId="2" borderId="0" xfId="3" applyNumberFormat="1" applyFont="1" applyFill="1" applyAlignment="1">
      <alignment horizontal="center"/>
    </xf>
    <xf numFmtId="3" fontId="16" fillId="2" borderId="8" xfId="2" applyNumberFormat="1" applyFont="1" applyFill="1" applyBorder="1" applyAlignment="1">
      <alignment horizontal="center"/>
    </xf>
    <xf numFmtId="10" fontId="16" fillId="2" borderId="9" xfId="3" applyNumberFormat="1" applyFont="1" applyFill="1" applyBorder="1" applyAlignment="1">
      <alignment horizontal="center"/>
    </xf>
    <xf numFmtId="0" fontId="9" fillId="2" borderId="2" xfId="0" applyFont="1" applyFill="1" applyBorder="1"/>
    <xf numFmtId="0" fontId="16" fillId="2" borderId="0" xfId="1" applyFont="1" applyFill="1" applyBorder="1">
      <alignment horizontal="left"/>
    </xf>
    <xf numFmtId="1" fontId="9" fillId="2" borderId="41" xfId="0" applyNumberFormat="1" applyFont="1" applyFill="1" applyBorder="1"/>
    <xf numFmtId="3" fontId="45" fillId="2" borderId="5" xfId="1" applyNumberFormat="1" applyFont="1" applyFill="1" applyBorder="1" applyAlignment="1">
      <alignment horizontal="center"/>
    </xf>
    <xf numFmtId="3" fontId="16" fillId="2" borderId="10" xfId="2" applyNumberFormat="1" applyFont="1" applyFill="1" applyBorder="1" applyAlignment="1">
      <alignment horizontal="center"/>
    </xf>
    <xf numFmtId="10" fontId="16" fillId="2" borderId="11" xfId="3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center"/>
    </xf>
    <xf numFmtId="0" fontId="2" fillId="2" borderId="0" xfId="0" applyFont="1" applyFill="1"/>
    <xf numFmtId="0" fontId="3" fillId="2" borderId="0" xfId="1" applyFont="1" applyAlignment="1">
      <alignment horizontal="center"/>
    </xf>
    <xf numFmtId="0" fontId="3" fillId="2" borderId="0" xfId="1" applyFont="1">
      <alignment horizontal="left"/>
    </xf>
    <xf numFmtId="0" fontId="2" fillId="2" borderId="0" xfId="0" applyFont="1" applyFill="1" applyAlignment="1">
      <alignment horizontal="left"/>
    </xf>
    <xf numFmtId="3" fontId="3" fillId="2" borderId="0" xfId="1" applyNumberFormat="1" applyFont="1" applyAlignment="1">
      <alignment horizontal="center"/>
    </xf>
    <xf numFmtId="0" fontId="11" fillId="2" borderId="0" xfId="0" applyFont="1" applyFill="1" applyAlignment="1">
      <alignment horizontal="left"/>
    </xf>
    <xf numFmtId="0" fontId="2" fillId="2" borderId="0" xfId="1" applyFont="1" applyAlignment="1">
      <alignment horizontal="left"/>
    </xf>
    <xf numFmtId="0" fontId="3" fillId="2" borderId="0" xfId="1" applyFont="1" applyFill="1">
      <alignment horizontal="left"/>
    </xf>
    <xf numFmtId="4" fontId="3" fillId="2" borderId="0" xfId="0" applyNumberFormat="1" applyFont="1" applyFill="1" applyAlignment="1">
      <alignment horizontal="center"/>
    </xf>
    <xf numFmtId="0" fontId="20" fillId="0" borderId="0" xfId="47"/>
    <xf numFmtId="0" fontId="20" fillId="2" borderId="31" xfId="47" applyFill="1" applyBorder="1" applyAlignment="1">
      <alignment horizontal="center" vertical="center"/>
    </xf>
    <xf numFmtId="0" fontId="20" fillId="2" borderId="30" xfId="47" applyFill="1" applyBorder="1" applyAlignment="1">
      <alignment vertical="center"/>
    </xf>
    <xf numFmtId="170" fontId="20" fillId="2" borderId="30" xfId="65" applyNumberFormat="1" applyFont="1" applyFill="1" applyBorder="1" applyAlignment="1">
      <alignment horizontal="center" vertical="center"/>
    </xf>
    <xf numFmtId="170" fontId="20" fillId="2" borderId="17" xfId="65" applyNumberFormat="1" applyFont="1" applyFill="1" applyBorder="1" applyAlignment="1">
      <alignment horizontal="center" vertical="center"/>
    </xf>
    <xf numFmtId="0" fontId="20" fillId="2" borderId="40" xfId="47" applyFill="1" applyBorder="1" applyAlignment="1">
      <alignment horizontal="center" vertical="center"/>
    </xf>
    <xf numFmtId="0" fontId="20" fillId="2" borderId="0" xfId="47" applyFill="1" applyBorder="1" applyAlignment="1">
      <alignment vertical="center"/>
    </xf>
    <xf numFmtId="170" fontId="20" fillId="2" borderId="0" xfId="65" applyNumberFormat="1" applyFont="1" applyFill="1" applyBorder="1" applyAlignment="1">
      <alignment horizontal="center" vertical="center"/>
    </xf>
    <xf numFmtId="170" fontId="20" fillId="2" borderId="18" xfId="65" applyNumberFormat="1" applyFont="1" applyFill="1" applyBorder="1" applyAlignment="1">
      <alignment horizontal="center" vertical="center"/>
    </xf>
    <xf numFmtId="0" fontId="20" fillId="2" borderId="42" xfId="47" applyFill="1" applyBorder="1" applyAlignment="1">
      <alignment horizontal="center" vertical="center"/>
    </xf>
    <xf numFmtId="0" fontId="20" fillId="2" borderId="39" xfId="47" applyFill="1" applyBorder="1" applyAlignment="1">
      <alignment vertical="center"/>
    </xf>
    <xf numFmtId="170" fontId="20" fillId="2" borderId="39" xfId="65" applyNumberFormat="1" applyFont="1" applyFill="1" applyBorder="1" applyAlignment="1">
      <alignment horizontal="center" vertical="center"/>
    </xf>
    <xf numFmtId="170" fontId="20" fillId="2" borderId="19" xfId="65" applyNumberFormat="1" applyFont="1" applyFill="1" applyBorder="1" applyAlignment="1">
      <alignment horizontal="center" vertical="center"/>
    </xf>
    <xf numFmtId="0" fontId="20" fillId="2" borderId="1" xfId="47" applyFill="1" applyBorder="1" applyAlignment="1">
      <alignment horizontal="center" vertical="center"/>
    </xf>
    <xf numFmtId="0" fontId="20" fillId="2" borderId="1" xfId="47" applyFill="1" applyBorder="1" applyAlignment="1">
      <alignment vertical="center"/>
    </xf>
    <xf numFmtId="0" fontId="20" fillId="2" borderId="1" xfId="47" applyFont="1" applyFill="1" applyBorder="1" applyAlignment="1">
      <alignment horizontal="left" vertical="center"/>
    </xf>
    <xf numFmtId="0" fontId="0" fillId="2" borderId="0" xfId="0" applyFill="1" applyAlignment="1">
      <alignment horizontal="left"/>
    </xf>
    <xf numFmtId="9" fontId="3" fillId="2" borderId="0" xfId="3" applyFont="1" applyFill="1" applyAlignment="1">
      <alignment horizontal="left"/>
    </xf>
    <xf numFmtId="9" fontId="10" fillId="2" borderId="0" xfId="3" applyFont="1" applyFill="1" applyAlignment="1">
      <alignment horizontal="left"/>
    </xf>
    <xf numFmtId="9" fontId="3" fillId="2" borderId="1" xfId="3" applyFont="1" applyFill="1" applyBorder="1" applyAlignment="1">
      <alignment horizontal="center"/>
    </xf>
    <xf numFmtId="9" fontId="11" fillId="2" borderId="0" xfId="3" applyFont="1" applyFill="1" applyAlignment="1">
      <alignment horizontal="left"/>
    </xf>
    <xf numFmtId="0" fontId="5" fillId="4" borderId="0" xfId="1" applyFont="1" applyFill="1" applyAlignment="1">
      <alignment horizontal="center"/>
    </xf>
    <xf numFmtId="3" fontId="16" fillId="2" borderId="0" xfId="1" applyNumberFormat="1" applyFont="1" applyFill="1">
      <alignment horizontal="left"/>
    </xf>
    <xf numFmtId="0" fontId="5" fillId="4" borderId="0" xfId="1" applyFont="1" applyFill="1" applyAlignment="1">
      <alignment horizontal="left"/>
    </xf>
    <xf numFmtId="0" fontId="18" fillId="4" borderId="0" xfId="1" applyFont="1" applyFill="1" applyAlignment="1">
      <alignment horizontal="left"/>
    </xf>
    <xf numFmtId="0" fontId="18" fillId="4" borderId="0" xfId="1" applyFont="1" applyFill="1" applyAlignment="1">
      <alignment horizontal="center"/>
    </xf>
    <xf numFmtId="3" fontId="3" fillId="30" borderId="0" xfId="1" applyNumberFormat="1" applyFill="1" applyAlignment="1">
      <alignment horizontal="left"/>
    </xf>
    <xf numFmtId="3" fontId="3" fillId="30" borderId="0" xfId="1" applyNumberFormat="1" applyFill="1" applyBorder="1" applyAlignment="1">
      <alignment horizontal="center"/>
    </xf>
    <xf numFmtId="0" fontId="5" fillId="4" borderId="0" xfId="1" applyFont="1" applyFill="1" applyAlignment="1"/>
    <xf numFmtId="0" fontId="5" fillId="4" borderId="0" xfId="1" applyNumberFormat="1" applyFont="1" applyFill="1" applyAlignment="1">
      <alignment horizontal="center"/>
    </xf>
    <xf numFmtId="0" fontId="8" fillId="4" borderId="0" xfId="0" applyFont="1" applyFill="1"/>
    <xf numFmtId="0" fontId="17" fillId="4" borderId="0" xfId="0" applyFont="1" applyFill="1"/>
    <xf numFmtId="3" fontId="17" fillId="4" borderId="0" xfId="0" applyNumberFormat="1" applyFont="1" applyFill="1" applyAlignment="1">
      <alignment horizontal="right"/>
    </xf>
    <xf numFmtId="0" fontId="17" fillId="4" borderId="0" xfId="0" applyFont="1" applyFill="1" applyAlignment="1">
      <alignment horizontal="right"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center"/>
    </xf>
    <xf numFmtId="1" fontId="3" fillId="30" borderId="6" xfId="1" applyNumberFormat="1" applyFill="1" applyBorder="1" applyAlignment="1">
      <alignment horizontal="center"/>
    </xf>
    <xf numFmtId="3" fontId="3" fillId="30" borderId="7" xfId="1" applyNumberFormat="1" applyFill="1" applyBorder="1" applyAlignment="1">
      <alignment horizontal="center"/>
    </xf>
    <xf numFmtId="0" fontId="5" fillId="4" borderId="2" xfId="1" applyFont="1" applyFill="1" applyBorder="1" applyAlignment="1">
      <alignment horizontal="left"/>
    </xf>
    <xf numFmtId="0" fontId="6" fillId="4" borderId="2" xfId="1" applyFont="1" applyFill="1" applyBorder="1" applyAlignment="1">
      <alignment horizontal="left"/>
    </xf>
    <xf numFmtId="0" fontId="5" fillId="4" borderId="2" xfId="1" applyFont="1" applyFill="1" applyBorder="1" applyAlignment="1">
      <alignment horizontal="center"/>
    </xf>
    <xf numFmtId="9" fontId="5" fillId="4" borderId="2" xfId="3" applyFont="1" applyFill="1" applyBorder="1" applyAlignment="1">
      <alignment horizontal="center"/>
    </xf>
    <xf numFmtId="0" fontId="48" fillId="31" borderId="0" xfId="47" applyFont="1" applyFill="1" applyAlignment="1">
      <alignment horizontal="center" vertical="center"/>
    </xf>
    <xf numFmtId="0" fontId="48" fillId="31" borderId="0" xfId="47" applyFont="1" applyFill="1" applyAlignment="1">
      <alignment vertical="center"/>
    </xf>
    <xf numFmtId="0" fontId="48" fillId="31" borderId="0" xfId="47" applyFont="1" applyFill="1" applyAlignment="1">
      <alignment horizontal="center" vertical="center" wrapText="1"/>
    </xf>
    <xf numFmtId="9" fontId="3" fillId="2" borderId="0" xfId="3" applyFont="1" applyFill="1" applyAlignment="1">
      <alignment horizontal="center"/>
    </xf>
    <xf numFmtId="0" fontId="1" fillId="0" borderId="0" xfId="0" applyFont="1"/>
    <xf numFmtId="0" fontId="8" fillId="4" borderId="0" xfId="0" applyFont="1" applyFill="1" applyAlignment="1">
      <alignment horizontal="left"/>
    </xf>
    <xf numFmtId="0" fontId="0" fillId="0" borderId="0" xfId="0" applyAlignment="1">
      <alignment horizontal="left"/>
    </xf>
    <xf numFmtId="165" fontId="0" fillId="0" borderId="0" xfId="2" applyNumberFormat="1" applyFont="1" applyAlignment="1">
      <alignment horizontal="center"/>
    </xf>
    <xf numFmtId="172" fontId="3" fillId="30" borderId="6" xfId="2" applyNumberFormat="1" applyFont="1" applyFill="1" applyBorder="1" applyAlignment="1">
      <alignment horizontal="center"/>
    </xf>
    <xf numFmtId="172" fontId="3" fillId="30" borderId="7" xfId="2" applyNumberFormat="1" applyFont="1" applyFill="1" applyBorder="1" applyAlignment="1">
      <alignment horizontal="center"/>
    </xf>
    <xf numFmtId="172" fontId="3" fillId="30" borderId="0" xfId="2" applyNumberFormat="1" applyFont="1" applyFill="1" applyBorder="1" applyAlignment="1">
      <alignment horizontal="center"/>
    </xf>
    <xf numFmtId="172" fontId="3" fillId="2" borderId="7" xfId="2" applyNumberFormat="1" applyFont="1" applyFill="1" applyBorder="1" applyAlignment="1">
      <alignment horizontal="center"/>
    </xf>
    <xf numFmtId="165" fontId="3" fillId="30" borderId="6" xfId="2" applyNumberFormat="1" applyFont="1" applyFill="1" applyBorder="1" applyAlignment="1">
      <alignment horizontal="center"/>
    </xf>
    <xf numFmtId="165" fontId="3" fillId="30" borderId="7" xfId="2" applyNumberFormat="1" applyFont="1" applyFill="1" applyBorder="1" applyAlignment="1">
      <alignment horizontal="center"/>
    </xf>
    <xf numFmtId="165" fontId="3" fillId="30" borderId="0" xfId="2" applyNumberFormat="1" applyFont="1" applyFill="1" applyBorder="1" applyAlignment="1">
      <alignment horizontal="center"/>
    </xf>
    <xf numFmtId="165" fontId="3" fillId="2" borderId="7" xfId="2" applyNumberFormat="1" applyFont="1" applyFill="1" applyBorder="1" applyAlignment="1">
      <alignment horizontal="center"/>
    </xf>
    <xf numFmtId="165" fontId="3" fillId="2" borderId="0" xfId="2" applyNumberFormat="1" applyFont="1" applyFill="1" applyAlignment="1">
      <alignment horizontal="left"/>
    </xf>
    <xf numFmtId="165" fontId="2" fillId="2" borderId="38" xfId="2" applyNumberFormat="1" applyFont="1" applyFill="1" applyBorder="1" applyAlignment="1">
      <alignment horizontal="center"/>
    </xf>
    <xf numFmtId="0" fontId="5" fillId="4" borderId="0" xfId="1" applyFont="1" applyFill="1" applyAlignment="1">
      <alignment horizontal="center"/>
    </xf>
    <xf numFmtId="0" fontId="2" fillId="2" borderId="0" xfId="1" applyFont="1" applyFill="1" applyAlignment="1">
      <alignment horizontal="left"/>
    </xf>
    <xf numFmtId="17" fontId="3" fillId="2" borderId="0" xfId="1" applyNumberFormat="1" applyFont="1" applyAlignment="1">
      <alignment horizontal="center"/>
    </xf>
    <xf numFmtId="173" fontId="3" fillId="2" borderId="39" xfId="0" applyNumberFormat="1" applyFont="1" applyFill="1" applyBorder="1" applyAlignment="1">
      <alignment horizontal="center"/>
    </xf>
    <xf numFmtId="4" fontId="3" fillId="2" borderId="39" xfId="3" applyNumberFormat="1" applyFont="1" applyFill="1" applyBorder="1" applyAlignment="1">
      <alignment horizontal="center"/>
    </xf>
    <xf numFmtId="174" fontId="3" fillId="2" borderId="0" xfId="1" applyNumberFormat="1">
      <alignment horizontal="left"/>
    </xf>
    <xf numFmtId="165" fontId="3" fillId="2" borderId="0" xfId="2" applyNumberFormat="1" applyFont="1" applyFill="1" applyAlignment="1">
      <alignment horizontal="center"/>
    </xf>
    <xf numFmtId="175" fontId="0" fillId="2" borderId="0" xfId="3" applyNumberFormat="1" applyFont="1" applyFill="1"/>
    <xf numFmtId="0" fontId="5" fillId="4" borderId="0" xfId="1" applyFont="1" applyFill="1" applyAlignment="1">
      <alignment horizontal="center"/>
    </xf>
    <xf numFmtId="172" fontId="3" fillId="2" borderId="0" xfId="2" applyNumberFormat="1" applyFont="1" applyFill="1" applyBorder="1" applyAlignment="1">
      <alignment horizontal="center"/>
    </xf>
    <xf numFmtId="165" fontId="3" fillId="2" borderId="0" xfId="2" applyNumberFormat="1" applyFont="1" applyFill="1" applyBorder="1" applyAlignment="1">
      <alignment horizontal="center"/>
    </xf>
    <xf numFmtId="166" fontId="3" fillId="2" borderId="0" xfId="2" applyNumberFormat="1" applyFont="1" applyFill="1" applyBorder="1" applyAlignment="1">
      <alignment horizontal="center"/>
    </xf>
    <xf numFmtId="166" fontId="3" fillId="30" borderId="0" xfId="2" applyNumberFormat="1" applyFont="1" applyFill="1" applyBorder="1" applyAlignment="1">
      <alignment horizontal="center"/>
    </xf>
    <xf numFmtId="3" fontId="3" fillId="2" borderId="0" xfId="3" applyNumberFormat="1" applyFont="1" applyFill="1" applyAlignment="1">
      <alignment horizontal="center"/>
    </xf>
    <xf numFmtId="0" fontId="3" fillId="2" borderId="0" xfId="0" applyFont="1" applyFill="1" applyBorder="1" applyAlignment="1">
      <alignment horizontal="left"/>
    </xf>
    <xf numFmtId="0" fontId="5" fillId="32" borderId="0" xfId="0" applyFont="1" applyFill="1" applyAlignment="1">
      <alignment horizontal="center"/>
    </xf>
    <xf numFmtId="4" fontId="49" fillId="0" borderId="43" xfId="0" applyNumberFormat="1" applyFont="1" applyBorder="1" applyAlignment="1">
      <alignment horizontal="right" vertical="center"/>
    </xf>
    <xf numFmtId="9" fontId="3" fillId="29" borderId="45" xfId="3" applyFont="1" applyFill="1" applyBorder="1" applyAlignment="1">
      <alignment horizontal="center"/>
    </xf>
    <xf numFmtId="10" fontId="3" fillId="29" borderId="45" xfId="3" applyNumberFormat="1" applyFont="1" applyFill="1" applyBorder="1" applyAlignment="1">
      <alignment horizontal="center"/>
    </xf>
    <xf numFmtId="10" fontId="3" fillId="29" borderId="44" xfId="3" applyNumberFormat="1" applyFont="1" applyFill="1" applyBorder="1" applyAlignment="1">
      <alignment horizontal="center"/>
    </xf>
    <xf numFmtId="0" fontId="5" fillId="4" borderId="0" xfId="1" applyFont="1" applyFill="1" applyAlignment="1">
      <alignment horizontal="center"/>
    </xf>
    <xf numFmtId="3" fontId="3" fillId="2" borderId="0" xfId="1" applyNumberFormat="1" applyFill="1" applyAlignment="1">
      <alignment horizontal="left"/>
    </xf>
    <xf numFmtId="3" fontId="3" fillId="2" borderId="0" xfId="1" applyNumberFormat="1" applyFill="1" applyBorder="1" applyAlignment="1">
      <alignment horizontal="center"/>
    </xf>
    <xf numFmtId="10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/>
    <xf numFmtId="0" fontId="3" fillId="2" borderId="36" xfId="1" applyBorder="1" applyAlignment="1">
      <alignment horizontal="center"/>
    </xf>
    <xf numFmtId="3" fontId="3" fillId="2" borderId="36" xfId="1" applyNumberFormat="1" applyBorder="1" applyAlignment="1">
      <alignment horizontal="center"/>
    </xf>
    <xf numFmtId="165" fontId="3" fillId="30" borderId="36" xfId="2" applyNumberFormat="1" applyFont="1" applyFill="1" applyBorder="1" applyAlignment="1">
      <alignment horizontal="center"/>
    </xf>
    <xf numFmtId="165" fontId="3" fillId="2" borderId="36" xfId="2" applyNumberFormat="1" applyFont="1" applyFill="1" applyBorder="1" applyAlignment="1">
      <alignment horizontal="center"/>
    </xf>
    <xf numFmtId="3" fontId="2" fillId="2" borderId="36" xfId="1" applyNumberFormat="1" applyFont="1" applyBorder="1" applyAlignment="1">
      <alignment horizontal="center"/>
    </xf>
    <xf numFmtId="3" fontId="2" fillId="2" borderId="36" xfId="1" applyNumberFormat="1" applyFont="1" applyBorder="1" applyAlignment="1">
      <alignment horizontal="right"/>
    </xf>
    <xf numFmtId="10" fontId="3" fillId="2" borderId="36" xfId="3" applyNumberFormat="1" applyFont="1" applyFill="1" applyBorder="1" applyAlignment="1">
      <alignment horizontal="center"/>
    </xf>
    <xf numFmtId="0" fontId="1" fillId="0" borderId="4" xfId="0" applyFont="1" applyBorder="1"/>
    <xf numFmtId="0" fontId="47" fillId="2" borderId="41" xfId="47" applyFont="1" applyFill="1" applyBorder="1" applyAlignment="1">
      <alignment vertical="center"/>
    </xf>
    <xf numFmtId="170" fontId="47" fillId="2" borderId="41" xfId="65" applyNumberFormat="1" applyFont="1" applyFill="1" applyBorder="1" applyAlignment="1">
      <alignment horizontal="center" vertical="center"/>
    </xf>
    <xf numFmtId="0" fontId="55" fillId="2" borderId="30" xfId="0" applyFont="1" applyFill="1" applyBorder="1" applyAlignment="1">
      <alignment horizontal="left"/>
    </xf>
    <xf numFmtId="0" fontId="55" fillId="2" borderId="0" xfId="0" applyFont="1" applyFill="1"/>
    <xf numFmtId="0" fontId="55" fillId="2" borderId="0" xfId="0" applyFont="1" applyFill="1" applyBorder="1" applyAlignment="1">
      <alignment horizontal="left"/>
    </xf>
    <xf numFmtId="0" fontId="55" fillId="2" borderId="39" xfId="0" applyFont="1" applyFill="1" applyBorder="1" applyAlignment="1">
      <alignment horizontal="left"/>
    </xf>
    <xf numFmtId="4" fontId="2" fillId="2" borderId="1" xfId="1" applyNumberFormat="1" applyFont="1" applyBorder="1" applyAlignment="1">
      <alignment horizontal="center"/>
    </xf>
    <xf numFmtId="0" fontId="1" fillId="30" borderId="1" xfId="0" applyFont="1" applyFill="1" applyBorder="1"/>
    <xf numFmtId="0" fontId="47" fillId="30" borderId="1" xfId="47" applyFont="1" applyFill="1" applyBorder="1" applyAlignment="1">
      <alignment vertical="center"/>
    </xf>
    <xf numFmtId="170" fontId="47" fillId="30" borderId="1" xfId="65" applyNumberFormat="1" applyFont="1" applyFill="1" applyBorder="1" applyAlignment="1">
      <alignment horizontal="center" vertical="center"/>
    </xf>
    <xf numFmtId="0" fontId="1" fillId="30" borderId="0" xfId="0" applyFont="1" applyFill="1"/>
    <xf numFmtId="0" fontId="47" fillId="30" borderId="0" xfId="47" applyFont="1" applyFill="1" applyBorder="1" applyAlignment="1">
      <alignment vertical="center"/>
    </xf>
    <xf numFmtId="170" fontId="47" fillId="30" borderId="39" xfId="65" applyNumberFormat="1" applyFont="1" applyFill="1" applyBorder="1" applyAlignment="1">
      <alignment horizontal="center" vertical="center"/>
    </xf>
    <xf numFmtId="0" fontId="47" fillId="30" borderId="40" xfId="47" applyFont="1" applyFill="1" applyBorder="1" applyAlignment="1">
      <alignment horizontal="center" vertical="center"/>
    </xf>
    <xf numFmtId="170" fontId="47" fillId="30" borderId="0" xfId="65" applyNumberFormat="1" applyFon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left"/>
    </xf>
    <xf numFmtId="1" fontId="9" fillId="2" borderId="2" xfId="0" applyNumberFormat="1" applyFont="1" applyFill="1" applyBorder="1"/>
    <xf numFmtId="9" fontId="45" fillId="2" borderId="5" xfId="3" applyNumberFormat="1" applyFont="1" applyFill="1" applyBorder="1" applyAlignment="1">
      <alignment horizontal="center"/>
    </xf>
    <xf numFmtId="9" fontId="16" fillId="2" borderId="11" xfId="3" applyNumberFormat="1" applyFont="1" applyFill="1" applyBorder="1" applyAlignment="1">
      <alignment horizontal="center"/>
    </xf>
    <xf numFmtId="9" fontId="16" fillId="2" borderId="0" xfId="1" applyNumberFormat="1" applyFont="1" applyFill="1" applyAlignment="1">
      <alignment horizontal="center"/>
    </xf>
    <xf numFmtId="0" fontId="0" fillId="0" borderId="20" xfId="0" applyBorder="1" applyAlignment="1"/>
    <xf numFmtId="3" fontId="3" fillId="34" borderId="0" xfId="1" applyNumberFormat="1" applyFill="1" applyAlignment="1">
      <alignment horizontal="right"/>
    </xf>
    <xf numFmtId="166" fontId="3" fillId="2" borderId="0" xfId="0" applyNumberFormat="1" applyFont="1" applyFill="1" applyAlignment="1">
      <alignment horizontal="center"/>
    </xf>
    <xf numFmtId="173" fontId="16" fillId="2" borderId="0" xfId="3" applyNumberFormat="1" applyFont="1" applyFill="1" applyAlignment="1">
      <alignment horizontal="left"/>
    </xf>
    <xf numFmtId="10" fontId="16" fillId="2" borderId="0" xfId="1" applyNumberFormat="1" applyFont="1" applyFill="1">
      <alignment horizontal="left"/>
    </xf>
    <xf numFmtId="0" fontId="0" fillId="0" borderId="0" xfId="0"/>
    <xf numFmtId="0" fontId="5" fillId="4" borderId="0" xfId="1" applyFont="1" applyFill="1" applyAlignment="1">
      <alignment horizontal="center"/>
    </xf>
    <xf numFmtId="0" fontId="5" fillId="4" borderId="0" xfId="1" applyFont="1" applyFill="1" applyAlignment="1">
      <alignment horizontal="center"/>
    </xf>
    <xf numFmtId="0" fontId="0" fillId="0" borderId="0" xfId="0"/>
    <xf numFmtId="0" fontId="3" fillId="2" borderId="10" xfId="1" applyBorder="1" applyAlignment="1">
      <alignment horizontal="center"/>
    </xf>
    <xf numFmtId="0" fontId="3" fillId="2" borderId="11" xfId="1" applyBorder="1" applyAlignment="1">
      <alignment horizontal="center"/>
    </xf>
    <xf numFmtId="10" fontId="3" fillId="30" borderId="7" xfId="3" applyNumberFormat="1" applyFont="1" applyFill="1" applyBorder="1" applyAlignment="1">
      <alignment horizontal="center"/>
    </xf>
    <xf numFmtId="10" fontId="3" fillId="2" borderId="7" xfId="3" applyNumberFormat="1" applyFont="1" applyFill="1" applyBorder="1" applyAlignment="1">
      <alignment horizontal="center"/>
    </xf>
    <xf numFmtId="3" fontId="3" fillId="2" borderId="8" xfId="1" applyNumberFormat="1" applyBorder="1" applyAlignment="1">
      <alignment horizontal="center"/>
    </xf>
    <xf numFmtId="10" fontId="3" fillId="2" borderId="9" xfId="3" applyNumberFormat="1" applyFont="1" applyFill="1" applyBorder="1" applyAlignment="1">
      <alignment horizontal="center"/>
    </xf>
    <xf numFmtId="3" fontId="3" fillId="2" borderId="0" xfId="1" applyNumberFormat="1">
      <alignment horizontal="left"/>
    </xf>
    <xf numFmtId="9" fontId="2" fillId="2" borderId="1" xfId="3" applyNumberFormat="1" applyFont="1" applyFill="1" applyBorder="1" applyAlignment="1">
      <alignment horizontal="center"/>
    </xf>
    <xf numFmtId="0" fontId="3" fillId="2" borderId="0" xfId="1" applyFill="1" applyAlignment="1">
      <alignment horizontal="left"/>
    </xf>
    <xf numFmtId="3" fontId="56" fillId="2" borderId="0" xfId="1" applyNumberFormat="1" applyFont="1" applyFill="1" applyAlignment="1">
      <alignment horizontal="center"/>
    </xf>
    <xf numFmtId="0" fontId="5" fillId="4" borderId="0" xfId="1" applyFont="1" applyFill="1" applyAlignment="1">
      <alignment horizontal="center"/>
    </xf>
    <xf numFmtId="0" fontId="0" fillId="0" borderId="0" xfId="0"/>
    <xf numFmtId="10" fontId="2" fillId="35" borderId="0" xfId="3" applyNumberFormat="1" applyFont="1" applyFill="1" applyAlignment="1">
      <alignment horizontal="center"/>
    </xf>
    <xf numFmtId="172" fontId="3" fillId="2" borderId="0" xfId="2" applyNumberFormat="1" applyFont="1" applyFill="1" applyAlignment="1">
      <alignment horizontal="left"/>
    </xf>
    <xf numFmtId="10" fontId="0" fillId="2" borderId="0" xfId="0" applyNumberFormat="1" applyFill="1"/>
    <xf numFmtId="177" fontId="16" fillId="2" borderId="0" xfId="2" applyNumberFormat="1" applyFont="1" applyFill="1" applyAlignment="1">
      <alignment horizontal="left"/>
    </xf>
    <xf numFmtId="0" fontId="5" fillId="4" borderId="0" xfId="1" applyFont="1" applyFill="1" applyAlignment="1">
      <alignment horizontal="center"/>
    </xf>
    <xf numFmtId="0" fontId="3" fillId="2" borderId="16" xfId="1" applyBorder="1" applyAlignment="1">
      <alignment horizontal="center"/>
    </xf>
    <xf numFmtId="3" fontId="3" fillId="2" borderId="2" xfId="1" applyNumberFormat="1" applyBorder="1" applyAlignment="1">
      <alignment horizontal="center"/>
    </xf>
    <xf numFmtId="10" fontId="3" fillId="30" borderId="0" xfId="3" applyNumberFormat="1" applyFont="1" applyFill="1" applyBorder="1" applyAlignment="1">
      <alignment horizontal="center"/>
    </xf>
    <xf numFmtId="10" fontId="3" fillId="2" borderId="0" xfId="3" applyNumberFormat="1" applyFont="1" applyFill="1" applyBorder="1" applyAlignment="1">
      <alignment horizontal="center"/>
    </xf>
    <xf numFmtId="0" fontId="3" fillId="2" borderId="46" xfId="1" applyFill="1" applyBorder="1">
      <alignment horizontal="left"/>
    </xf>
    <xf numFmtId="0" fontId="5" fillId="2" borderId="47" xfId="1" applyFont="1" applyFill="1" applyBorder="1" applyAlignment="1">
      <alignment horizontal="center"/>
    </xf>
    <xf numFmtId="0" fontId="3" fillId="2" borderId="48" xfId="1" applyBorder="1" applyAlignment="1">
      <alignment horizontal="center"/>
    </xf>
    <xf numFmtId="0" fontId="3" fillId="2" borderId="49" xfId="1" applyBorder="1" applyAlignment="1">
      <alignment horizontal="center"/>
    </xf>
    <xf numFmtId="166" fontId="3" fillId="30" borderId="48" xfId="2" applyNumberFormat="1" applyFont="1" applyFill="1" applyBorder="1" applyAlignment="1">
      <alignment horizontal="center"/>
    </xf>
    <xf numFmtId="3" fontId="3" fillId="30" borderId="50" xfId="1" applyNumberFormat="1" applyFill="1" applyBorder="1" applyAlignment="1">
      <alignment horizontal="center"/>
    </xf>
    <xf numFmtId="166" fontId="3" fillId="2" borderId="48" xfId="2" applyNumberFormat="1" applyFont="1" applyFill="1" applyBorder="1" applyAlignment="1">
      <alignment horizontal="center"/>
    </xf>
    <xf numFmtId="3" fontId="3" fillId="2" borderId="50" xfId="1" applyNumberFormat="1" applyBorder="1" applyAlignment="1">
      <alignment horizontal="center"/>
    </xf>
    <xf numFmtId="166" fontId="3" fillId="2" borderId="51" xfId="2" applyNumberFormat="1" applyFont="1" applyFill="1" applyBorder="1" applyAlignment="1">
      <alignment horizontal="center"/>
    </xf>
    <xf numFmtId="3" fontId="3" fillId="2" borderId="52" xfId="1" applyNumberFormat="1" applyBorder="1" applyAlignment="1">
      <alignment horizontal="center"/>
    </xf>
    <xf numFmtId="0" fontId="3" fillId="2" borderId="53" xfId="1" applyBorder="1" applyAlignment="1">
      <alignment horizontal="center"/>
    </xf>
    <xf numFmtId="0" fontId="3" fillId="2" borderId="39" xfId="1" applyBorder="1" applyAlignment="1">
      <alignment horizontal="center"/>
    </xf>
    <xf numFmtId="165" fontId="3" fillId="2" borderId="6" xfId="2" applyNumberFormat="1" applyFont="1" applyFill="1" applyBorder="1" applyAlignment="1"/>
    <xf numFmtId="3" fontId="3" fillId="2" borderId="8" xfId="1" applyNumberFormat="1" applyFill="1" applyBorder="1" applyAlignment="1">
      <alignment horizontal="center"/>
    </xf>
    <xf numFmtId="9" fontId="16" fillId="2" borderId="0" xfId="3" applyFont="1" applyFill="1" applyAlignment="1">
      <alignment horizontal="left"/>
    </xf>
    <xf numFmtId="178" fontId="3" fillId="2" borderId="0" xfId="2" applyNumberFormat="1" applyFont="1" applyFill="1" applyAlignment="1">
      <alignment horizontal="center"/>
    </xf>
    <xf numFmtId="178" fontId="3" fillId="2" borderId="0" xfId="2" applyNumberFormat="1" applyFont="1" applyFill="1" applyBorder="1" applyAlignment="1">
      <alignment horizontal="center"/>
    </xf>
    <xf numFmtId="178" fontId="3" fillId="2" borderId="39" xfId="2" applyNumberFormat="1" applyFont="1" applyFill="1" applyBorder="1" applyAlignment="1">
      <alignment horizontal="center"/>
    </xf>
    <xf numFmtId="0" fontId="5" fillId="31" borderId="0" xfId="1" applyFont="1" applyFill="1" applyAlignment="1">
      <alignment horizontal="center"/>
    </xf>
    <xf numFmtId="0" fontId="5" fillId="4" borderId="0" xfId="1" applyFont="1" applyFill="1" applyAlignment="1">
      <alignment horizontal="center"/>
    </xf>
    <xf numFmtId="3" fontId="3" fillId="2" borderId="30" xfId="0" applyNumberFormat="1" applyFont="1" applyFill="1" applyBorder="1" applyAlignment="1">
      <alignment horizontal="center"/>
    </xf>
    <xf numFmtId="179" fontId="0" fillId="2" borderId="0" xfId="3" applyNumberFormat="1" applyFont="1" applyFill="1"/>
    <xf numFmtId="0" fontId="3" fillId="2" borderId="0" xfId="1" applyFont="1" applyFill="1" applyAlignment="1">
      <alignment horizontal="center"/>
    </xf>
    <xf numFmtId="3" fontId="57" fillId="2" borderId="0" xfId="1" applyNumberFormat="1" applyFont="1" applyFill="1" applyAlignment="1">
      <alignment horizontal="center"/>
    </xf>
    <xf numFmtId="0" fontId="2" fillId="2" borderId="1" xfId="1" applyFont="1" applyFill="1" applyBorder="1" applyAlignment="1">
      <alignment horizontal="center"/>
    </xf>
    <xf numFmtId="10" fontId="3" fillId="2" borderId="30" xfId="3" applyNumberFormat="1" applyFont="1" applyFill="1" applyBorder="1" applyAlignment="1">
      <alignment horizontal="center"/>
    </xf>
    <xf numFmtId="166" fontId="3" fillId="2" borderId="30" xfId="2" applyNumberFormat="1" applyFont="1" applyFill="1" applyBorder="1" applyAlignment="1">
      <alignment horizontal="center"/>
    </xf>
    <xf numFmtId="180" fontId="3" fillId="2" borderId="0" xfId="0" applyNumberFormat="1" applyFont="1" applyFill="1" applyAlignment="1">
      <alignment horizontal="center"/>
    </xf>
    <xf numFmtId="180" fontId="3" fillId="2" borderId="0" xfId="0" applyNumberFormat="1" applyFont="1" applyFill="1" applyBorder="1" applyAlignment="1">
      <alignment horizontal="center"/>
    </xf>
    <xf numFmtId="3" fontId="3" fillId="30" borderId="54" xfId="1" applyNumberFormat="1" applyFill="1" applyBorder="1" applyAlignment="1">
      <alignment horizontal="center"/>
    </xf>
    <xf numFmtId="3" fontId="3" fillId="2" borderId="54" xfId="1" applyNumberFormat="1" applyBorder="1" applyAlignment="1">
      <alignment horizontal="center"/>
    </xf>
    <xf numFmtId="166" fontId="11" fillId="2" borderId="0" xfId="0" applyNumberFormat="1" applyFont="1" applyFill="1" applyBorder="1" applyAlignment="1">
      <alignment horizontal="center"/>
    </xf>
    <xf numFmtId="3" fontId="8" fillId="4" borderId="0" xfId="0" applyNumberFormat="1" applyFont="1" applyFill="1" applyAlignment="1">
      <alignment horizontal="right"/>
    </xf>
    <xf numFmtId="173" fontId="3" fillId="2" borderId="0" xfId="3" applyNumberFormat="1" applyFont="1" applyFill="1" applyAlignment="1">
      <alignment horizontal="center"/>
    </xf>
    <xf numFmtId="165" fontId="58" fillId="2" borderId="0" xfId="2" applyNumberFormat="1" applyFont="1" applyFill="1" applyAlignment="1">
      <alignment horizontal="center"/>
    </xf>
    <xf numFmtId="165" fontId="58" fillId="2" borderId="0" xfId="2" applyNumberFormat="1" applyFont="1" applyFill="1" applyAlignment="1">
      <alignment horizontal="left"/>
    </xf>
    <xf numFmtId="172" fontId="58" fillId="2" borderId="0" xfId="2" applyNumberFormat="1" applyFont="1" applyFill="1" applyAlignment="1">
      <alignment horizontal="left"/>
    </xf>
    <xf numFmtId="10" fontId="2" fillId="2" borderId="36" xfId="3" applyNumberFormat="1" applyFont="1" applyFill="1" applyBorder="1" applyAlignment="1">
      <alignment horizontal="center"/>
    </xf>
    <xf numFmtId="3" fontId="2" fillId="2" borderId="0" xfId="1" applyNumberFormat="1" applyFont="1" applyBorder="1" applyAlignment="1">
      <alignment horizontal="left"/>
    </xf>
    <xf numFmtId="9" fontId="2" fillId="2" borderId="0" xfId="3" applyNumberFormat="1" applyFont="1" applyFill="1" applyBorder="1" applyAlignment="1">
      <alignment horizontal="center"/>
    </xf>
    <xf numFmtId="0" fontId="0" fillId="36" borderId="0" xfId="0" applyFill="1"/>
    <xf numFmtId="0" fontId="0" fillId="0" borderId="0" xfId="0" applyBorder="1"/>
    <xf numFmtId="3" fontId="66" fillId="0" borderId="0" xfId="0" applyNumberFormat="1" applyFont="1" applyBorder="1"/>
    <xf numFmtId="0" fontId="65" fillId="0" borderId="0" xfId="0" applyFont="1" applyBorder="1"/>
    <xf numFmtId="0" fontId="67" fillId="37" borderId="36" xfId="0" applyFont="1" applyFill="1" applyBorder="1" applyAlignment="1">
      <alignment horizontal="center" vertical="center" wrapText="1"/>
    </xf>
    <xf numFmtId="3" fontId="65" fillId="0" borderId="0" xfId="0" applyNumberFormat="1" applyFont="1" applyBorder="1"/>
    <xf numFmtId="0" fontId="68" fillId="37" borderId="36" xfId="0" quotePrefix="1" applyFont="1" applyFill="1" applyBorder="1" applyAlignment="1">
      <alignment horizontal="center" vertical="center" wrapText="1"/>
    </xf>
    <xf numFmtId="181" fontId="63" fillId="0" borderId="36" xfId="2" applyNumberFormat="1" applyFont="1" applyFill="1" applyBorder="1" applyAlignment="1">
      <alignment vertical="center" wrapText="1"/>
    </xf>
    <xf numFmtId="181" fontId="63" fillId="0" borderId="36" xfId="3" applyNumberFormat="1" applyFont="1" applyBorder="1" applyAlignment="1">
      <alignment vertical="center"/>
    </xf>
    <xf numFmtId="0" fontId="68" fillId="37" borderId="36" xfId="0" applyFont="1" applyFill="1" applyBorder="1" applyAlignment="1">
      <alignment horizontal="center" vertical="center" wrapText="1"/>
    </xf>
    <xf numFmtId="3" fontId="69" fillId="0" borderId="0" xfId="0" applyNumberFormat="1" applyFont="1" applyBorder="1"/>
    <xf numFmtId="0" fontId="70" fillId="0" borderId="36" xfId="0" applyFont="1" applyBorder="1" applyAlignment="1">
      <alignment horizontal="left" vertical="center" indent="1"/>
    </xf>
    <xf numFmtId="0" fontId="70" fillId="38" borderId="36" xfId="0" applyFont="1" applyFill="1" applyBorder="1" applyAlignment="1">
      <alignment horizontal="center" vertical="center"/>
    </xf>
    <xf numFmtId="181" fontId="63" fillId="38" borderId="36" xfId="2" applyNumberFormat="1" applyFont="1" applyFill="1" applyBorder="1" applyAlignment="1">
      <alignment vertical="center" wrapText="1"/>
    </xf>
    <xf numFmtId="181" fontId="63" fillId="38" borderId="36" xfId="3" applyNumberFormat="1" applyFont="1" applyFill="1" applyBorder="1" applyAlignment="1">
      <alignment vertical="center"/>
    </xf>
    <xf numFmtId="0" fontId="71" fillId="0" borderId="36" xfId="0" applyFont="1" applyBorder="1" applyAlignment="1">
      <alignment horizontal="left" vertical="center" wrapText="1"/>
    </xf>
    <xf numFmtId="0" fontId="71" fillId="0" borderId="36" xfId="0" applyFont="1" applyBorder="1" applyAlignment="1">
      <alignment horizontal="center" vertical="center" wrapText="1"/>
    </xf>
    <xf numFmtId="173" fontId="72" fillId="0" borderId="36" xfId="3" applyNumberFormat="1" applyFont="1" applyFill="1" applyBorder="1" applyAlignment="1">
      <alignment horizontal="center" vertical="center" wrapText="1"/>
    </xf>
    <xf numFmtId="173" fontId="73" fillId="0" borderId="36" xfId="3" applyNumberFormat="1" applyFont="1" applyFill="1" applyBorder="1" applyAlignment="1">
      <alignment horizontal="center" vertical="center" wrapText="1"/>
    </xf>
    <xf numFmtId="173" fontId="74" fillId="0" borderId="36" xfId="3" applyNumberFormat="1" applyFont="1" applyFill="1" applyBorder="1" applyAlignment="1">
      <alignment horizontal="center" vertical="center" wrapText="1"/>
    </xf>
    <xf numFmtId="0" fontId="75" fillId="36" borderId="30" xfId="0" applyFont="1" applyFill="1" applyBorder="1" applyAlignment="1">
      <alignment horizontal="center" vertical="center" wrapText="1"/>
    </xf>
    <xf numFmtId="3" fontId="66" fillId="36" borderId="30" xfId="0" applyNumberFormat="1" applyFont="1" applyFill="1" applyBorder="1"/>
    <xf numFmtId="3" fontId="66" fillId="36" borderId="0" xfId="0" applyNumberFormat="1" applyFont="1" applyFill="1" applyBorder="1"/>
    <xf numFmtId="3" fontId="0" fillId="0" borderId="0" xfId="0" applyNumberFormat="1"/>
    <xf numFmtId="0" fontId="76" fillId="36" borderId="0" xfId="0" applyFont="1" applyFill="1"/>
    <xf numFmtId="4" fontId="0" fillId="0" borderId="0" xfId="0" applyNumberFormat="1"/>
    <xf numFmtId="3" fontId="77" fillId="2" borderId="0" xfId="0" applyNumberFormat="1" applyFont="1" applyFill="1" applyBorder="1"/>
    <xf numFmtId="181" fontId="63" fillId="0" borderId="0" xfId="3" applyNumberFormat="1" applyFont="1" applyBorder="1" applyAlignment="1">
      <alignment vertical="center"/>
    </xf>
    <xf numFmtId="3" fontId="0" fillId="0" borderId="0" xfId="0" applyNumberFormat="1" applyBorder="1"/>
    <xf numFmtId="0" fontId="9" fillId="36" borderId="0" xfId="0" applyFont="1" applyFill="1"/>
    <xf numFmtId="4" fontId="78" fillId="2" borderId="0" xfId="0" applyNumberFormat="1" applyFont="1" applyFill="1" applyBorder="1"/>
    <xf numFmtId="4" fontId="79" fillId="2" borderId="0" xfId="0" applyNumberFormat="1" applyFont="1" applyFill="1" applyBorder="1"/>
    <xf numFmtId="181" fontId="63" fillId="2" borderId="0" xfId="2" applyNumberFormat="1" applyFont="1" applyFill="1" applyBorder="1" applyAlignment="1">
      <alignment vertical="center" wrapText="1"/>
    </xf>
    <xf numFmtId="0" fontId="62" fillId="36" borderId="0" xfId="0" applyFont="1" applyFill="1" applyBorder="1" applyAlignment="1">
      <alignment vertical="center"/>
    </xf>
    <xf numFmtId="0" fontId="63" fillId="36" borderId="0" xfId="0" applyFont="1" applyFill="1" applyBorder="1"/>
    <xf numFmtId="0" fontId="0" fillId="36" borderId="0" xfId="0" applyFill="1" applyBorder="1"/>
    <xf numFmtId="0" fontId="9" fillId="0" borderId="0" xfId="0" applyFont="1"/>
    <xf numFmtId="0" fontId="63" fillId="36" borderId="0" xfId="0" applyFont="1" applyFill="1"/>
    <xf numFmtId="0" fontId="9" fillId="0" borderId="0" xfId="0" applyFont="1" applyBorder="1"/>
    <xf numFmtId="0" fontId="81" fillId="36" borderId="0" xfId="0" applyFont="1" applyFill="1" applyBorder="1" applyAlignment="1">
      <alignment vertical="center"/>
    </xf>
    <xf numFmtId="0" fontId="59" fillId="0" borderId="0" xfId="0" applyFont="1"/>
    <xf numFmtId="0" fontId="59" fillId="0" borderId="0" xfId="0" applyFont="1" applyBorder="1"/>
    <xf numFmtId="0" fontId="66" fillId="0" borderId="0" xfId="0" applyFont="1" applyBorder="1"/>
    <xf numFmtId="0" fontId="47" fillId="39" borderId="59" xfId="0" applyFont="1" applyFill="1" applyBorder="1" applyAlignment="1">
      <alignment horizontal="center" vertical="center"/>
    </xf>
    <xf numFmtId="0" fontId="81" fillId="39" borderId="59" xfId="0" applyFont="1" applyFill="1" applyBorder="1" applyAlignment="1">
      <alignment horizontal="center" vertical="center"/>
    </xf>
    <xf numFmtId="17" fontId="61" fillId="39" borderId="45" xfId="0" quotePrefix="1" applyNumberFormat="1" applyFont="1" applyFill="1" applyBorder="1" applyAlignment="1">
      <alignment horizontal="center" vertical="center"/>
    </xf>
    <xf numFmtId="17" fontId="81" fillId="39" borderId="34" xfId="0" quotePrefix="1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horizontal="left"/>
    </xf>
    <xf numFmtId="3" fontId="0" fillId="0" borderId="36" xfId="0" applyNumberFormat="1" applyBorder="1"/>
    <xf numFmtId="173" fontId="83" fillId="0" borderId="36" xfId="74" applyNumberFormat="1" applyFont="1" applyFill="1" applyBorder="1" applyAlignment="1">
      <alignment horizontal="right" vertical="center"/>
    </xf>
    <xf numFmtId="173" fontId="84" fillId="0" borderId="36" xfId="74" applyNumberFormat="1" applyFont="1" applyFill="1" applyBorder="1" applyAlignment="1">
      <alignment horizontal="right" vertical="center"/>
    </xf>
    <xf numFmtId="0" fontId="9" fillId="0" borderId="3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5" fillId="0" borderId="33" xfId="0" applyFont="1" applyBorder="1" applyAlignment="1">
      <alignment vertical="center" wrapText="1"/>
    </xf>
    <xf numFmtId="3" fontId="0" fillId="0" borderId="33" xfId="0" applyNumberFormat="1" applyBorder="1"/>
    <xf numFmtId="0" fontId="0" fillId="0" borderId="4" xfId="0" applyBorder="1"/>
    <xf numFmtId="0" fontId="63" fillId="0" borderId="60" xfId="0" applyFont="1" applyBorder="1" applyAlignment="1">
      <alignment vertical="center" wrapText="1"/>
    </xf>
    <xf numFmtId="3" fontId="1" fillId="0" borderId="60" xfId="0" applyNumberFormat="1" applyFont="1" applyFill="1" applyBorder="1"/>
    <xf numFmtId="3" fontId="1" fillId="0" borderId="61" xfId="0" applyNumberFormat="1" applyFont="1" applyFill="1" applyBorder="1"/>
    <xf numFmtId="0" fontId="82" fillId="2" borderId="0" xfId="0" applyFont="1" applyFill="1" applyBorder="1"/>
    <xf numFmtId="3" fontId="86" fillId="2" borderId="0" xfId="0" applyNumberFormat="1" applyFont="1" applyFill="1"/>
    <xf numFmtId="173" fontId="75" fillId="2" borderId="16" xfId="3" applyNumberFormat="1" applyFont="1" applyFill="1" applyBorder="1" applyAlignment="1">
      <alignment horizontal="right" vertical="center"/>
    </xf>
    <xf numFmtId="0" fontId="86" fillId="2" borderId="0" xfId="0" applyFont="1" applyFill="1" applyBorder="1" applyAlignment="1">
      <alignment vertical="center" wrapText="1"/>
    </xf>
    <xf numFmtId="167" fontId="86" fillId="2" borderId="0" xfId="2" applyNumberFormat="1" applyFont="1" applyFill="1" applyBorder="1" applyAlignment="1">
      <alignment vertical="center" wrapText="1"/>
    </xf>
    <xf numFmtId="3" fontId="77" fillId="0" borderId="0" xfId="0" applyNumberFormat="1" applyFont="1" applyBorder="1"/>
    <xf numFmtId="3" fontId="87" fillId="0" borderId="0" xfId="0" applyNumberFormat="1" applyFont="1" applyBorder="1"/>
    <xf numFmtId="173" fontId="83" fillId="0" borderId="0" xfId="3" applyNumberFormat="1" applyFont="1" applyFill="1" applyBorder="1" applyAlignment="1">
      <alignment horizontal="right" vertical="center"/>
    </xf>
    <xf numFmtId="3" fontId="81" fillId="0" borderId="0" xfId="2" applyNumberFormat="1" applyFont="1" applyFill="1" applyBorder="1" applyAlignment="1">
      <alignment horizontal="center" vertical="center"/>
    </xf>
    <xf numFmtId="4" fontId="0" fillId="0" borderId="0" xfId="0" applyNumberFormat="1" applyBorder="1"/>
    <xf numFmtId="3" fontId="62" fillId="0" borderId="0" xfId="0" applyNumberFormat="1" applyFont="1" applyBorder="1"/>
    <xf numFmtId="173" fontId="81" fillId="0" borderId="0" xfId="3" applyNumberFormat="1" applyFont="1" applyFill="1" applyBorder="1" applyAlignment="1">
      <alignment horizontal="right" vertical="center"/>
    </xf>
    <xf numFmtId="17" fontId="63" fillId="39" borderId="45" xfId="0" quotePrefix="1" applyNumberFormat="1" applyFont="1" applyFill="1" applyBorder="1" applyAlignment="1">
      <alignment horizontal="center" vertical="center"/>
    </xf>
    <xf numFmtId="17" fontId="63" fillId="39" borderId="67" xfId="0" applyNumberFormat="1" applyFont="1" applyFill="1" applyBorder="1" applyAlignment="1">
      <alignment horizontal="center" vertical="center"/>
    </xf>
    <xf numFmtId="0" fontId="85" fillId="0" borderId="36" xfId="0" applyFont="1" applyBorder="1" applyAlignment="1">
      <alignment vertical="center" wrapText="1"/>
    </xf>
    <xf numFmtId="181" fontId="62" fillId="2" borderId="36" xfId="6" applyNumberFormat="1" applyFont="1" applyFill="1" applyBorder="1" applyAlignment="1">
      <alignment horizontal="center" vertical="center"/>
    </xf>
    <xf numFmtId="181" fontId="62" fillId="0" borderId="36" xfId="6" applyNumberFormat="1" applyFont="1" applyFill="1" applyBorder="1" applyAlignment="1">
      <alignment horizontal="center" vertical="center"/>
    </xf>
    <xf numFmtId="0" fontId="89" fillId="0" borderId="36" xfId="0" applyFont="1" applyBorder="1" applyAlignment="1">
      <alignment vertical="center" wrapText="1"/>
    </xf>
    <xf numFmtId="17" fontId="63" fillId="39" borderId="36" xfId="0" quotePrefix="1" applyNumberFormat="1" applyFont="1" applyFill="1" applyBorder="1" applyAlignment="1">
      <alignment horizontal="center" vertical="center"/>
    </xf>
    <xf numFmtId="17" fontId="63" fillId="39" borderId="36" xfId="0" applyNumberFormat="1" applyFont="1" applyFill="1" applyBorder="1" applyAlignment="1">
      <alignment horizontal="center" vertical="center"/>
    </xf>
    <xf numFmtId="0" fontId="90" fillId="0" borderId="0" xfId="0" applyFont="1"/>
    <xf numFmtId="17" fontId="63" fillId="39" borderId="68" xfId="0" quotePrefix="1" applyNumberFormat="1" applyFont="1" applyFill="1" applyBorder="1" applyAlignment="1">
      <alignment horizontal="center" vertical="center"/>
    </xf>
    <xf numFmtId="181" fontId="91" fillId="0" borderId="36" xfId="6" applyNumberFormat="1" applyFont="1" applyFill="1" applyBorder="1" applyAlignment="1">
      <alignment horizontal="center" vertical="center"/>
    </xf>
    <xf numFmtId="3" fontId="62" fillId="0" borderId="36" xfId="6" applyNumberFormat="1" applyFont="1" applyFill="1" applyBorder="1" applyAlignment="1">
      <alignment horizontal="center" vertical="center"/>
    </xf>
    <xf numFmtId="3" fontId="93" fillId="0" borderId="72" xfId="0" applyNumberFormat="1" applyFont="1" applyBorder="1" applyAlignment="1">
      <alignment horizontal="center"/>
    </xf>
    <xf numFmtId="3" fontId="93" fillId="0" borderId="72" xfId="0" quotePrefix="1" applyNumberFormat="1" applyFont="1" applyBorder="1" applyAlignment="1">
      <alignment horizontal="center"/>
    </xf>
    <xf numFmtId="0" fontId="0" fillId="0" borderId="73" xfId="0" applyBorder="1" applyAlignment="1">
      <alignment horizontal="left"/>
    </xf>
    <xf numFmtId="0" fontId="0" fillId="0" borderId="74" xfId="0" applyBorder="1" applyAlignment="1">
      <alignment horizontal="left"/>
    </xf>
    <xf numFmtId="173" fontId="94" fillId="0" borderId="72" xfId="74" applyNumberFormat="1" applyFont="1" applyFill="1" applyBorder="1" applyAlignment="1">
      <alignment horizontal="right" vertical="center"/>
    </xf>
    <xf numFmtId="173" fontId="83" fillId="0" borderId="72" xfId="74" applyNumberFormat="1" applyFont="1" applyFill="1" applyBorder="1" applyAlignment="1">
      <alignment horizontal="right" vertical="center"/>
    </xf>
    <xf numFmtId="3" fontId="65" fillId="0" borderId="0" xfId="0" applyNumberFormat="1" applyFont="1" applyFill="1" applyBorder="1"/>
    <xf numFmtId="0" fontId="0" fillId="0" borderId="72" xfId="0" applyBorder="1" applyAlignment="1">
      <alignment horizontal="left"/>
    </xf>
    <xf numFmtId="3" fontId="93" fillId="0" borderId="75" xfId="0" applyNumberFormat="1" applyFont="1" applyBorder="1"/>
    <xf numFmtId="3" fontId="93" fillId="0" borderId="72" xfId="0" applyNumberFormat="1" applyFont="1" applyBorder="1"/>
    <xf numFmtId="0" fontId="95" fillId="0" borderId="0" xfId="0" applyFont="1" applyBorder="1" applyAlignment="1">
      <alignment vertical="center"/>
    </xf>
    <xf numFmtId="181" fontId="9" fillId="0" borderId="0" xfId="3" applyNumberFormat="1" applyFont="1" applyBorder="1" applyAlignment="1"/>
    <xf numFmtId="0" fontId="0" fillId="0" borderId="0" xfId="0" applyBorder="1" applyAlignment="1"/>
    <xf numFmtId="0" fontId="81" fillId="36" borderId="0" xfId="0" applyFont="1" applyFill="1" applyBorder="1" applyAlignment="1">
      <alignment vertical="center" wrapText="1"/>
    </xf>
    <xf numFmtId="3" fontId="81" fillId="36" borderId="0" xfId="0" applyNumberFormat="1" applyFont="1" applyFill="1" applyBorder="1" applyAlignment="1">
      <alignment vertical="center" wrapText="1"/>
    </xf>
    <xf numFmtId="3" fontId="63" fillId="0" borderId="0" xfId="6" applyNumberFormat="1" applyFont="1" applyFill="1" applyBorder="1" applyAlignment="1">
      <alignment vertical="center" wrapText="1"/>
    </xf>
    <xf numFmtId="0" fontId="63" fillId="0" borderId="72" xfId="0" applyFont="1" applyBorder="1"/>
    <xf numFmtId="3" fontId="63" fillId="0" borderId="73" xfId="0" applyNumberFormat="1" applyFont="1" applyBorder="1" applyAlignment="1">
      <alignment horizontal="center"/>
    </xf>
    <xf numFmtId="0" fontId="63" fillId="0" borderId="76" xfId="0" applyFont="1" applyBorder="1" applyAlignment="1">
      <alignment horizontal="center"/>
    </xf>
    <xf numFmtId="3" fontId="1" fillId="0" borderId="36" xfId="0" applyNumberFormat="1" applyFont="1" applyBorder="1" applyAlignment="1">
      <alignment horizontal="center" vertical="center"/>
    </xf>
    <xf numFmtId="167" fontId="0" fillId="0" borderId="0" xfId="0" applyNumberFormat="1"/>
    <xf numFmtId="0" fontId="81" fillId="36" borderId="0" xfId="0" applyFont="1" applyFill="1" applyBorder="1" applyAlignment="1">
      <alignment horizontal="left" vertical="center"/>
    </xf>
    <xf numFmtId="0" fontId="1" fillId="0" borderId="39" xfId="0" applyFont="1" applyBorder="1"/>
    <xf numFmtId="0" fontId="1" fillId="2" borderId="39" xfId="0" applyFont="1" applyFill="1" applyBorder="1"/>
    <xf numFmtId="0" fontId="0" fillId="0" borderId="0" xfId="0" applyFill="1"/>
    <xf numFmtId="0" fontId="82" fillId="41" borderId="0" xfId="0" applyFont="1" applyFill="1" applyAlignment="1">
      <alignment horizontal="center" vertical="center"/>
    </xf>
    <xf numFmtId="0" fontId="0" fillId="0" borderId="56" xfId="0" applyBorder="1"/>
    <xf numFmtId="165" fontId="0" fillId="0" borderId="56" xfId="0" applyNumberFormat="1" applyBorder="1"/>
    <xf numFmtId="0" fontId="0" fillId="0" borderId="55" xfId="0" applyBorder="1"/>
    <xf numFmtId="165" fontId="0" fillId="0" borderId="55" xfId="0" applyNumberFormat="1" applyBorder="1"/>
    <xf numFmtId="3" fontId="99" fillId="0" borderId="82" xfId="0" applyNumberFormat="1" applyFont="1" applyFill="1" applyBorder="1"/>
    <xf numFmtId="182" fontId="0" fillId="0" borderId="57" xfId="0" applyNumberFormat="1" applyBorder="1"/>
    <xf numFmtId="3" fontId="109" fillId="0" borderId="88" xfId="0" applyNumberFormat="1" applyFont="1" applyBorder="1" applyAlignment="1">
      <alignment vertical="center" wrapText="1"/>
    </xf>
    <xf numFmtId="3" fontId="109" fillId="0" borderId="87" xfId="0" applyNumberFormat="1" applyFont="1" applyBorder="1" applyAlignment="1">
      <alignment vertical="center" wrapText="1"/>
    </xf>
    <xf numFmtId="164" fontId="3" fillId="2" borderId="0" xfId="1" applyNumberFormat="1">
      <alignment horizontal="left"/>
    </xf>
    <xf numFmtId="0" fontId="63" fillId="39" borderId="62" xfId="0" applyFont="1" applyFill="1" applyBorder="1" applyAlignment="1">
      <alignment horizontal="center" vertical="center"/>
    </xf>
    <xf numFmtId="0" fontId="63" fillId="39" borderId="66" xfId="0" applyFont="1" applyFill="1" applyBorder="1" applyAlignment="1">
      <alignment horizontal="center" vertical="center"/>
    </xf>
    <xf numFmtId="0" fontId="104" fillId="0" borderId="84" xfId="0" applyFont="1" applyBorder="1" applyAlignment="1">
      <alignment horizontal="center" vertical="center" wrapText="1"/>
    </xf>
    <xf numFmtId="0" fontId="5" fillId="48" borderId="0" xfId="0" applyFont="1" applyFill="1"/>
    <xf numFmtId="0" fontId="3" fillId="4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5" fillId="48" borderId="0" xfId="0" applyFont="1" applyFill="1" applyAlignment="1">
      <alignment horizontal="right"/>
    </xf>
    <xf numFmtId="173" fontId="3" fillId="2" borderId="0" xfId="3" applyNumberFormat="1" applyFont="1" applyFill="1" applyAlignment="1">
      <alignment horizontal="right"/>
    </xf>
    <xf numFmtId="3" fontId="59" fillId="0" borderId="0" xfId="0" applyNumberFormat="1" applyFont="1" applyBorder="1"/>
    <xf numFmtId="182" fontId="59" fillId="0" borderId="0" xfId="0" applyNumberFormat="1" applyFont="1" applyBorder="1"/>
    <xf numFmtId="0" fontId="0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9" fillId="41" borderId="0" xfId="0" applyFont="1" applyFill="1" applyAlignment="1">
      <alignment horizontal="center" vertical="center"/>
    </xf>
    <xf numFmtId="0" fontId="116" fillId="0" borderId="77" xfId="0" applyFont="1" applyBorder="1" applyAlignment="1">
      <alignment horizontal="center" vertical="center"/>
    </xf>
    <xf numFmtId="3" fontId="117" fillId="0" borderId="77" xfId="0" applyNumberFormat="1" applyFont="1" applyBorder="1" applyAlignment="1">
      <alignment vertical="center" wrapText="1"/>
    </xf>
    <xf numFmtId="3" fontId="117" fillId="0" borderId="78" xfId="0" applyNumberFormat="1" applyFont="1" applyBorder="1" applyAlignment="1">
      <alignment vertical="center" wrapText="1"/>
    </xf>
    <xf numFmtId="0" fontId="116" fillId="0" borderId="79" xfId="0" applyFont="1" applyBorder="1" applyAlignment="1">
      <alignment horizontal="center" vertical="center"/>
    </xf>
    <xf numFmtId="0" fontId="0" fillId="0" borderId="56" xfId="0" applyFont="1" applyBorder="1"/>
    <xf numFmtId="165" fontId="0" fillId="0" borderId="56" xfId="0" applyNumberFormat="1" applyFont="1" applyBorder="1"/>
    <xf numFmtId="10" fontId="4" fillId="0" borderId="36" xfId="3" applyNumberFormat="1" applyFont="1" applyBorder="1" applyAlignment="1">
      <alignment horizontal="right"/>
    </xf>
    <xf numFmtId="0" fontId="0" fillId="0" borderId="55" xfId="0" applyFont="1" applyBorder="1"/>
    <xf numFmtId="165" fontId="0" fillId="0" borderId="55" xfId="0" applyNumberFormat="1" applyFont="1" applyBorder="1"/>
    <xf numFmtId="3" fontId="59" fillId="0" borderId="0" xfId="0" applyNumberFormat="1" applyFont="1"/>
    <xf numFmtId="0" fontId="59" fillId="0" borderId="56" xfId="0" applyFont="1" applyBorder="1"/>
    <xf numFmtId="0" fontId="59" fillId="0" borderId="89" xfId="0" applyFont="1" applyBorder="1"/>
    <xf numFmtId="0" fontId="59" fillId="0" borderId="90" xfId="0" applyFont="1" applyBorder="1"/>
    <xf numFmtId="0" fontId="59" fillId="0" borderId="91" xfId="0" applyFont="1" applyBorder="1"/>
    <xf numFmtId="182" fontId="59" fillId="0" borderId="56" xfId="0" applyNumberFormat="1" applyFont="1" applyBorder="1"/>
    <xf numFmtId="182" fontId="59" fillId="0" borderId="91" xfId="0" applyNumberFormat="1" applyFont="1" applyBorder="1"/>
    <xf numFmtId="0" fontId="59" fillId="0" borderId="92" xfId="0" applyFont="1" applyBorder="1"/>
    <xf numFmtId="0" fontId="59" fillId="0" borderId="55" xfId="0" applyFont="1" applyBorder="1"/>
    <xf numFmtId="182" fontId="59" fillId="0" borderId="55" xfId="0" applyNumberFormat="1" applyFont="1" applyBorder="1"/>
    <xf numFmtId="182" fontId="59" fillId="0" borderId="93" xfId="0" applyNumberFormat="1" applyFont="1" applyBorder="1"/>
    <xf numFmtId="0" fontId="0" fillId="0" borderId="80" xfId="0" applyFont="1" applyBorder="1"/>
    <xf numFmtId="3" fontId="0" fillId="0" borderId="0" xfId="0" applyNumberFormat="1" applyFont="1"/>
    <xf numFmtId="0" fontId="1" fillId="44" borderId="80" xfId="0" applyFont="1" applyFill="1" applyBorder="1" applyAlignment="1">
      <alignment horizontal="center"/>
    </xf>
    <xf numFmtId="3" fontId="118" fillId="44" borderId="80" xfId="0" applyNumberFormat="1" applyFont="1" applyFill="1" applyBorder="1" applyAlignment="1">
      <alignment vertical="center" wrapText="1"/>
    </xf>
    <xf numFmtId="0" fontId="59" fillId="0" borderId="57" xfId="0" applyFont="1" applyBorder="1"/>
    <xf numFmtId="0" fontId="59" fillId="0" borderId="94" xfId="0" applyFont="1" applyBorder="1"/>
    <xf numFmtId="182" fontId="59" fillId="0" borderId="57" xfId="0" applyNumberFormat="1" applyFont="1" applyBorder="1"/>
    <xf numFmtId="182" fontId="59" fillId="0" borderId="95" xfId="0" applyNumberFormat="1" applyFont="1" applyBorder="1"/>
    <xf numFmtId="0" fontId="16" fillId="0" borderId="81" xfId="0" applyFont="1" applyBorder="1" applyAlignment="1">
      <alignment horizontal="center" vertical="center"/>
    </xf>
    <xf numFmtId="3" fontId="118" fillId="0" borderId="79" xfId="0" applyNumberFormat="1" applyFont="1" applyBorder="1" applyAlignment="1">
      <alignment vertical="center" wrapText="1"/>
    </xf>
    <xf numFmtId="3" fontId="118" fillId="0" borderId="82" xfId="0" applyNumberFormat="1" applyFont="1" applyBorder="1" applyAlignment="1">
      <alignment vertical="center" wrapText="1"/>
    </xf>
    <xf numFmtId="182" fontId="59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/>
    <xf numFmtId="3" fontId="118" fillId="0" borderId="0" xfId="0" applyNumberFormat="1" applyFont="1" applyBorder="1" applyAlignment="1">
      <alignment vertical="center" wrapText="1"/>
    </xf>
    <xf numFmtId="3" fontId="59" fillId="0" borderId="91" xfId="0" applyNumberFormat="1" applyFont="1" applyBorder="1"/>
    <xf numFmtId="0" fontId="59" fillId="0" borderId="0" xfId="0" applyFont="1" applyBorder="1" applyAlignment="1">
      <alignment horizontal="left"/>
    </xf>
    <xf numFmtId="0" fontId="16" fillId="0" borderId="77" xfId="0" applyFont="1" applyFill="1" applyBorder="1" applyAlignment="1">
      <alignment horizontal="center" vertical="center"/>
    </xf>
    <xf numFmtId="182" fontId="0" fillId="0" borderId="57" xfId="0" applyNumberFormat="1" applyFont="1" applyBorder="1"/>
    <xf numFmtId="3" fontId="59" fillId="0" borderId="93" xfId="0" applyNumberFormat="1" applyFont="1" applyBorder="1"/>
    <xf numFmtId="0" fontId="45" fillId="0" borderId="79" xfId="0" applyFont="1" applyFill="1" applyBorder="1" applyAlignment="1">
      <alignment horizontal="center" vertical="center"/>
    </xf>
    <xf numFmtId="10" fontId="119" fillId="0" borderId="79" xfId="0" applyNumberFormat="1" applyFont="1" applyFill="1" applyBorder="1" applyAlignment="1">
      <alignment horizontal="right" vertical="center" wrapText="1"/>
    </xf>
    <xf numFmtId="10" fontId="119" fillId="0" borderId="83" xfId="0" applyNumberFormat="1" applyFont="1" applyFill="1" applyBorder="1" applyAlignment="1">
      <alignment horizontal="right" vertical="center" wrapText="1"/>
    </xf>
    <xf numFmtId="182" fontId="0" fillId="0" borderId="36" xfId="0" applyNumberFormat="1" applyFont="1" applyBorder="1"/>
    <xf numFmtId="3" fontId="59" fillId="0" borderId="95" xfId="0" applyNumberFormat="1" applyFont="1" applyBorder="1"/>
    <xf numFmtId="0" fontId="59" fillId="35" borderId="36" xfId="0" applyFont="1" applyFill="1" applyBorder="1"/>
    <xf numFmtId="183" fontId="59" fillId="35" borderId="36" xfId="0" applyNumberFormat="1" applyFont="1" applyFill="1" applyBorder="1" applyAlignment="1">
      <alignment horizontal="center" vertical="center"/>
    </xf>
    <xf numFmtId="3" fontId="59" fillId="35" borderId="36" xfId="0" applyNumberFormat="1" applyFont="1" applyFill="1" applyBorder="1" applyAlignment="1">
      <alignment horizontal="center" vertical="center"/>
    </xf>
    <xf numFmtId="0" fontId="59" fillId="0" borderId="36" xfId="0" applyFont="1" applyBorder="1"/>
    <xf numFmtId="182" fontId="59" fillId="0" borderId="36" xfId="0" applyNumberFormat="1" applyFont="1" applyBorder="1" applyAlignment="1">
      <alignment horizontal="center" vertical="center"/>
    </xf>
    <xf numFmtId="3" fontId="59" fillId="0" borderId="36" xfId="0" applyNumberFormat="1" applyFont="1" applyBorder="1" applyAlignment="1">
      <alignment horizontal="center" vertical="center"/>
    </xf>
    <xf numFmtId="3" fontId="120" fillId="0" borderId="82" xfId="0" applyNumberFormat="1" applyFont="1" applyBorder="1" applyAlignment="1">
      <alignment vertical="center" wrapText="1"/>
    </xf>
    <xf numFmtId="182" fontId="82" fillId="0" borderId="0" xfId="0" applyNumberFormat="1" applyFont="1" applyBorder="1" applyAlignment="1">
      <alignment vertical="top"/>
    </xf>
    <xf numFmtId="0" fontId="59" fillId="0" borderId="0" xfId="0" applyFont="1" applyFill="1" applyBorder="1"/>
    <xf numFmtId="0" fontId="59" fillId="0" borderId="0" xfId="0" pivotButton="1" applyFont="1" applyBorder="1"/>
    <xf numFmtId="0" fontId="59" fillId="0" borderId="56" xfId="0" pivotButton="1" applyFont="1" applyBorder="1"/>
    <xf numFmtId="181" fontId="63" fillId="0" borderId="36" xfId="2" applyNumberFormat="1" applyFont="1" applyBorder="1" applyAlignment="1">
      <alignment vertical="center"/>
    </xf>
    <xf numFmtId="181" fontId="9" fillId="0" borderId="30" xfId="2" applyNumberFormat="1" applyFont="1" applyBorder="1"/>
    <xf numFmtId="10" fontId="84" fillId="0" borderId="36" xfId="74" applyNumberFormat="1" applyFont="1" applyFill="1" applyBorder="1" applyAlignment="1">
      <alignment horizontal="right" vertical="center"/>
    </xf>
    <xf numFmtId="0" fontId="59" fillId="35" borderId="0" xfId="0" applyFont="1" applyFill="1" applyBorder="1"/>
    <xf numFmtId="3" fontId="75" fillId="0" borderId="0" xfId="0" applyNumberFormat="1" applyFont="1" applyBorder="1" applyAlignment="1">
      <alignment horizontal="center"/>
    </xf>
    <xf numFmtId="3" fontId="63" fillId="0" borderId="0" xfId="0" applyNumberFormat="1" applyFont="1" applyBorder="1" applyAlignment="1">
      <alignment horizontal="center"/>
    </xf>
    <xf numFmtId="3" fontId="86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59" fillId="0" borderId="0" xfId="0" pivotButton="1" applyNumberFormat="1" applyFont="1" applyBorder="1"/>
    <xf numFmtId="0" fontId="0" fillId="0" borderId="0" xfId="0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36" xfId="0" applyNumberFormat="1" applyFont="1" applyBorder="1" applyAlignment="1">
      <alignment horizontal="center" vertical="center"/>
    </xf>
    <xf numFmtId="10" fontId="83" fillId="0" borderId="36" xfId="74" applyNumberFormat="1" applyFont="1" applyFill="1" applyBorder="1" applyAlignment="1">
      <alignment horizontal="right" vertical="center"/>
    </xf>
    <xf numFmtId="0" fontId="110" fillId="0" borderId="0" xfId="0" applyFont="1"/>
    <xf numFmtId="3" fontId="1" fillId="40" borderId="36" xfId="0" applyNumberFormat="1" applyFont="1" applyFill="1" applyBorder="1" applyAlignment="1">
      <alignment horizontal="center" vertical="center"/>
    </xf>
    <xf numFmtId="0" fontId="2" fillId="2" borderId="0" xfId="1" applyFont="1" applyBorder="1" applyAlignment="1">
      <alignment horizontal="center"/>
    </xf>
    <xf numFmtId="3" fontId="3" fillId="2" borderId="0" xfId="1" applyNumberFormat="1" applyFont="1" applyFill="1" applyAlignment="1">
      <alignment horizontal="center"/>
    </xf>
    <xf numFmtId="0" fontId="3" fillId="2" borderId="0" xfId="1" applyFont="1" applyFill="1" applyBorder="1" applyAlignment="1">
      <alignment horizontal="center"/>
    </xf>
    <xf numFmtId="3" fontId="3" fillId="2" borderId="0" xfId="1" applyNumberFormat="1" applyFont="1" applyFill="1" applyBorder="1" applyAlignment="1">
      <alignment horizontal="center"/>
    </xf>
    <xf numFmtId="0" fontId="2" fillId="34" borderId="1" xfId="1" applyFont="1" applyFill="1" applyBorder="1" applyAlignment="1">
      <alignment horizontal="center"/>
    </xf>
    <xf numFmtId="3" fontId="2" fillId="34" borderId="1" xfId="1" applyNumberFormat="1" applyFont="1" applyFill="1" applyBorder="1" applyAlignment="1">
      <alignment horizontal="center"/>
    </xf>
    <xf numFmtId="3" fontId="45" fillId="2" borderId="9" xfId="1" applyNumberFormat="1" applyFont="1" applyFill="1" applyBorder="1" applyAlignment="1">
      <alignment horizontal="center"/>
    </xf>
    <xf numFmtId="0" fontId="9" fillId="2" borderId="0" xfId="0" applyFont="1" applyFill="1" applyBorder="1"/>
    <xf numFmtId="175" fontId="16" fillId="2" borderId="9" xfId="3" applyNumberFormat="1" applyFont="1" applyFill="1" applyBorder="1" applyAlignment="1">
      <alignment horizontal="center"/>
    </xf>
    <xf numFmtId="0" fontId="0" fillId="2" borderId="0" xfId="0" applyFill="1" applyBorder="1"/>
    <xf numFmtId="4" fontId="111" fillId="49" borderId="0" xfId="0" applyNumberFormat="1" applyFont="1" applyFill="1" applyBorder="1" applyAlignment="1">
      <alignment horizontal="center" vertical="center"/>
    </xf>
    <xf numFmtId="15" fontId="0" fillId="2" borderId="0" xfId="0" applyNumberFormat="1" applyFill="1" applyBorder="1"/>
    <xf numFmtId="4" fontId="0" fillId="2" borderId="0" xfId="0" applyNumberFormat="1" applyFill="1" applyBorder="1"/>
    <xf numFmtId="10" fontId="2" fillId="30" borderId="0" xfId="3" applyNumberFormat="1" applyFont="1" applyFill="1" applyBorder="1" applyAlignment="1">
      <alignment horizontal="center"/>
    </xf>
    <xf numFmtId="3" fontId="45" fillId="2" borderId="4" xfId="1" applyNumberFormat="1" applyFont="1" applyFill="1" applyBorder="1" applyAlignment="1">
      <alignment horizontal="center"/>
    </xf>
    <xf numFmtId="3" fontId="45" fillId="2" borderId="41" xfId="1" applyNumberFormat="1" applyFont="1" applyFill="1" applyBorder="1" applyAlignment="1">
      <alignment horizontal="center"/>
    </xf>
    <xf numFmtId="3" fontId="45" fillId="2" borderId="5" xfId="1" applyNumberFormat="1" applyFont="1" applyFill="1" applyBorder="1" applyAlignment="1">
      <alignment horizontal="center"/>
    </xf>
    <xf numFmtId="0" fontId="5" fillId="31" borderId="0" xfId="1" applyFont="1" applyFill="1" applyAlignment="1">
      <alignment horizontal="center"/>
    </xf>
    <xf numFmtId="0" fontId="18" fillId="4" borderId="0" xfId="1" applyFont="1" applyFill="1" applyAlignment="1">
      <alignment horizontal="center"/>
    </xf>
    <xf numFmtId="0" fontId="47" fillId="2" borderId="0" xfId="47" applyFont="1" applyFill="1" applyAlignment="1">
      <alignment horizontal="center" vertical="center"/>
    </xf>
    <xf numFmtId="0" fontId="5" fillId="4" borderId="0" xfId="1" applyFont="1" applyFill="1" applyAlignment="1">
      <alignment horizontal="center"/>
    </xf>
    <xf numFmtId="0" fontId="64" fillId="36" borderId="0" xfId="0" applyFont="1" applyFill="1" applyAlignment="1">
      <alignment horizontal="center" vertical="center"/>
    </xf>
    <xf numFmtId="0" fontId="68" fillId="2" borderId="0" xfId="0" quotePrefix="1" applyFont="1" applyFill="1" applyBorder="1" applyAlignment="1">
      <alignment horizontal="center" vertical="center" wrapText="1"/>
    </xf>
    <xf numFmtId="0" fontId="68" fillId="37" borderId="58" xfId="0" quotePrefix="1" applyFont="1" applyFill="1" applyBorder="1" applyAlignment="1">
      <alignment horizontal="center" vertical="center" wrapText="1"/>
    </xf>
    <xf numFmtId="0" fontId="68" fillId="37" borderId="39" xfId="0" quotePrefix="1" applyFont="1" applyFill="1" applyBorder="1" applyAlignment="1">
      <alignment horizontal="center" vertical="center" wrapText="1"/>
    </xf>
    <xf numFmtId="0" fontId="68" fillId="37" borderId="19" xfId="0" quotePrefix="1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17" fontId="81" fillId="39" borderId="4" xfId="0" applyNumberFormat="1" applyFont="1" applyFill="1" applyBorder="1" applyAlignment="1">
      <alignment horizontal="center" vertical="center" wrapText="1"/>
    </xf>
    <xf numFmtId="17" fontId="81" fillId="39" borderId="41" xfId="0" applyNumberFormat="1" applyFont="1" applyFill="1" applyBorder="1" applyAlignment="1">
      <alignment horizontal="center" vertical="center" wrapText="1"/>
    </xf>
    <xf numFmtId="17" fontId="81" fillId="39" borderId="5" xfId="0" applyNumberFormat="1" applyFont="1" applyFill="1" applyBorder="1" applyAlignment="1">
      <alignment horizontal="center" vertical="center" wrapText="1"/>
    </xf>
    <xf numFmtId="2" fontId="60" fillId="0" borderId="10" xfId="0" applyNumberFormat="1" applyFont="1" applyBorder="1" applyAlignment="1">
      <alignment horizontal="center" wrapText="1"/>
    </xf>
    <xf numFmtId="2" fontId="60" fillId="0" borderId="16" xfId="0" applyNumberFormat="1" applyFont="1" applyBorder="1" applyAlignment="1">
      <alignment horizontal="center" wrapText="1"/>
    </xf>
    <xf numFmtId="2" fontId="60" fillId="0" borderId="8" xfId="0" applyNumberFormat="1" applyFont="1" applyBorder="1" applyAlignment="1">
      <alignment horizontal="center" wrapText="1"/>
    </xf>
    <xf numFmtId="2" fontId="60" fillId="0" borderId="2" xfId="0" applyNumberFormat="1" applyFont="1" applyBorder="1" applyAlignment="1">
      <alignment horizontal="center" wrapText="1"/>
    </xf>
    <xf numFmtId="2" fontId="60" fillId="35" borderId="0" xfId="0" applyNumberFormat="1" applyFont="1" applyFill="1" applyAlignment="1">
      <alignment horizontal="center" wrapText="1"/>
    </xf>
    <xf numFmtId="0" fontId="81" fillId="36" borderId="0" xfId="0" applyFont="1" applyFill="1" applyBorder="1" applyAlignment="1">
      <alignment horizontal="left" vertical="center" wrapText="1"/>
    </xf>
    <xf numFmtId="0" fontId="92" fillId="35" borderId="0" xfId="0" applyFont="1" applyFill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89" fillId="0" borderId="0" xfId="0" applyFont="1" applyBorder="1" applyAlignment="1">
      <alignment horizontal="center"/>
    </xf>
    <xf numFmtId="2" fontId="60" fillId="0" borderId="0" xfId="0" applyNumberFormat="1" applyFont="1" applyAlignment="1">
      <alignment horizontal="center" wrapText="1"/>
    </xf>
    <xf numFmtId="0" fontId="62" fillId="36" borderId="0" xfId="0" applyFont="1" applyFill="1" applyAlignment="1">
      <alignment wrapText="1"/>
    </xf>
    <xf numFmtId="0" fontId="62" fillId="0" borderId="0" xfId="0" applyFont="1" applyAlignment="1">
      <alignment wrapText="1"/>
    </xf>
    <xf numFmtId="0" fontId="89" fillId="35" borderId="0" xfId="0" applyFont="1" applyFill="1" applyAlignment="1">
      <alignment horizontal="center" vertical="center"/>
    </xf>
    <xf numFmtId="0" fontId="89" fillId="0" borderId="69" xfId="0" applyFont="1" applyBorder="1" applyAlignment="1">
      <alignment horizontal="center" vertical="center"/>
    </xf>
    <xf numFmtId="0" fontId="89" fillId="0" borderId="70" xfId="0" applyFont="1" applyBorder="1" applyAlignment="1">
      <alignment horizontal="center" vertical="center"/>
    </xf>
    <xf numFmtId="0" fontId="89" fillId="0" borderId="71" xfId="0" applyFont="1" applyBorder="1" applyAlignment="1">
      <alignment horizontal="center" vertical="center"/>
    </xf>
    <xf numFmtId="0" fontId="63" fillId="39" borderId="62" xfId="0" applyFont="1" applyFill="1" applyBorder="1" applyAlignment="1">
      <alignment horizontal="center" vertical="center"/>
    </xf>
    <xf numFmtId="0" fontId="63" fillId="39" borderId="66" xfId="0" applyFont="1" applyFill="1" applyBorder="1" applyAlignment="1">
      <alignment horizontal="center" vertical="center"/>
    </xf>
    <xf numFmtId="0" fontId="63" fillId="39" borderId="63" xfId="0" applyFont="1" applyFill="1" applyBorder="1" applyAlignment="1">
      <alignment horizontal="center" vertical="center"/>
    </xf>
    <xf numFmtId="0" fontId="63" fillId="39" borderId="64" xfId="0" applyFont="1" applyFill="1" applyBorder="1" applyAlignment="1">
      <alignment horizontal="center" vertical="center"/>
    </xf>
    <xf numFmtId="0" fontId="63" fillId="39" borderId="65" xfId="0" applyFont="1" applyFill="1" applyBorder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89" fillId="36" borderId="0" xfId="0" applyFont="1" applyFill="1" applyAlignment="1">
      <alignment horizontal="center" vertical="center"/>
    </xf>
    <xf numFmtId="0" fontId="63" fillId="39" borderId="36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06" fillId="45" borderId="0" xfId="0" applyFont="1" applyFill="1" applyBorder="1" applyAlignment="1">
      <alignment horizontal="left" vertical="top" wrapText="1"/>
    </xf>
    <xf numFmtId="0" fontId="96" fillId="41" borderId="0" xfId="0" applyFont="1" applyFill="1" applyAlignment="1">
      <alignment horizontal="left" vertical="center" wrapText="1"/>
    </xf>
    <xf numFmtId="0" fontId="112" fillId="42" borderId="0" xfId="0" applyFont="1" applyFill="1" applyAlignment="1">
      <alignment horizontal="center" vertical="center" wrapText="1"/>
    </xf>
    <xf numFmtId="0" fontId="113" fillId="4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15" fillId="0" borderId="0" xfId="0" applyFont="1" applyAlignment="1">
      <alignment horizontal="left" vertical="center" wrapText="1"/>
    </xf>
    <xf numFmtId="0" fontId="100" fillId="47" borderId="0" xfId="0" applyFont="1" applyFill="1" applyBorder="1" applyAlignment="1">
      <alignment horizontal="left" vertical="top" wrapText="1"/>
    </xf>
    <xf numFmtId="0" fontId="85" fillId="47" borderId="0" xfId="0" applyFont="1" applyFill="1" applyBorder="1" applyAlignment="1">
      <alignment horizontal="left" vertical="top" wrapText="1"/>
    </xf>
    <xf numFmtId="0" fontId="102" fillId="46" borderId="0" xfId="0" applyFont="1" applyFill="1" applyAlignment="1">
      <alignment horizontal="left" vertical="center" wrapText="1"/>
    </xf>
    <xf numFmtId="0" fontId="104" fillId="0" borderId="0" xfId="0" applyFont="1" applyBorder="1" applyAlignment="1">
      <alignment horizontal="center" vertical="center" wrapText="1"/>
    </xf>
    <xf numFmtId="0" fontId="104" fillId="0" borderId="84" xfId="0" applyFont="1" applyBorder="1" applyAlignment="1">
      <alignment horizontal="center" vertical="center" wrapText="1"/>
    </xf>
    <xf numFmtId="0" fontId="104" fillId="0" borderId="85" xfId="0" applyFont="1" applyBorder="1" applyAlignment="1">
      <alignment horizontal="center" vertical="center" wrapText="1"/>
    </xf>
    <xf numFmtId="0" fontId="104" fillId="0" borderId="86" xfId="0" applyFont="1" applyBorder="1" applyAlignment="1">
      <alignment horizontal="center" vertical="center" wrapText="1"/>
    </xf>
    <xf numFmtId="0" fontId="104" fillId="0" borderId="87" xfId="0" applyFont="1" applyBorder="1" applyAlignment="1">
      <alignment horizontal="center" vertical="center" wrapText="1"/>
    </xf>
    <xf numFmtId="0" fontId="96" fillId="41" borderId="0" xfId="0" applyFont="1" applyFill="1" applyAlignment="1">
      <alignment horizontal="center" vertical="center" wrapText="1"/>
    </xf>
    <xf numFmtId="0" fontId="97" fillId="42" borderId="0" xfId="0" applyFont="1" applyFill="1" applyAlignment="1">
      <alignment horizontal="center" vertical="center" wrapText="1"/>
    </xf>
    <xf numFmtId="0" fontId="98" fillId="43" borderId="0" xfId="0" applyFont="1" applyFill="1" applyAlignment="1">
      <alignment horizontal="center" vertical="center" wrapText="1"/>
    </xf>
    <xf numFmtId="0" fontId="104" fillId="0" borderId="36" xfId="0" applyFont="1" applyBorder="1" applyAlignment="1">
      <alignment horizontal="center" vertical="top" wrapText="1"/>
    </xf>
  </cellXfs>
  <cellStyles count="113">
    <cellStyle name="20% - Énfasis1 2" xfId="7"/>
    <cellStyle name="20% - Énfasis2 2" xfId="8"/>
    <cellStyle name="20% - Énfasis3 2" xfId="9"/>
    <cellStyle name="20% - Énfasis4 2" xfId="10"/>
    <cellStyle name="20% - Énfasis5 2" xfId="11"/>
    <cellStyle name="20% - Énfasis6 2" xfId="12"/>
    <cellStyle name="40% - Énfasis1 2" xfId="13"/>
    <cellStyle name="40% - Énfasis2 2" xfId="14"/>
    <cellStyle name="40% - Énfasis3 2" xfId="15"/>
    <cellStyle name="40% - Énfasis4 2" xfId="16"/>
    <cellStyle name="40% - Énfasis5 2" xfId="17"/>
    <cellStyle name="40% - Énfasis6 2" xfId="18"/>
    <cellStyle name="60% - Énfasis1 2" xfId="19"/>
    <cellStyle name="60% - Énfasis2 2" xfId="20"/>
    <cellStyle name="60% - Énfasis3 2" xfId="21"/>
    <cellStyle name="60% - Énfasis4 2" xfId="22"/>
    <cellStyle name="60% - Énfasis5 2" xfId="23"/>
    <cellStyle name="60% - Énfasis6 2" xfId="24"/>
    <cellStyle name="Border" xfId="25"/>
    <cellStyle name="Buena 2" xfId="26"/>
    <cellStyle name="Cálculo 2" xfId="27"/>
    <cellStyle name="Celda de comprobación 2" xfId="28"/>
    <cellStyle name="Celda vinculada 2" xfId="29"/>
    <cellStyle name="CELESTE" xfId="30"/>
    <cellStyle name="Comma_Data Proyecto Antamina" xfId="31"/>
    <cellStyle name="CUADRO - Style1" xfId="107"/>
    <cellStyle name="CUERPO - Style2" xfId="108"/>
    <cellStyle name="Diseño" xfId="4"/>
    <cellStyle name="Diseño 12" xfId="104"/>
    <cellStyle name="Diseño 2" xfId="77"/>
    <cellStyle name="Diseño 3" xfId="76"/>
    <cellStyle name="Diseño 4" xfId="78"/>
    <cellStyle name="Diseño_053-BC" xfId="79"/>
    <cellStyle name="Encabezado 4 2" xfId="32"/>
    <cellStyle name="Énfasis1 2" xfId="33"/>
    <cellStyle name="Énfasis2 2" xfId="34"/>
    <cellStyle name="Énfasis3 2" xfId="35"/>
    <cellStyle name="Énfasis4 2" xfId="36"/>
    <cellStyle name="Énfasis5 2" xfId="37"/>
    <cellStyle name="Énfasis6 2" xfId="38"/>
    <cellStyle name="Entrada 2" xfId="39"/>
    <cellStyle name="Euro" xfId="40"/>
    <cellStyle name="Euro 2" xfId="41"/>
    <cellStyle name="Euro 3" xfId="66"/>
    <cellStyle name="Euro 4" xfId="80"/>
    <cellStyle name="Incorrecto 2" xfId="42"/>
    <cellStyle name="Millares" xfId="2" builtinId="3"/>
    <cellStyle name="Millares 2" xfId="6"/>
    <cellStyle name="Millares 2 2" xfId="67"/>
    <cellStyle name="Millares 3" xfId="43"/>
    <cellStyle name="Millares 3 2" xfId="68"/>
    <cellStyle name="Millares 4" xfId="65"/>
    <cellStyle name="Millares 5" xfId="106"/>
    <cellStyle name="Millares 6" xfId="112"/>
    <cellStyle name="Neutral 2" xfId="44"/>
    <cellStyle name="No-definido" xfId="45"/>
    <cellStyle name="Normal" xfId="0" builtinId="0"/>
    <cellStyle name="Normal 2" xfId="46"/>
    <cellStyle name="Normal 2 2" xfId="47"/>
    <cellStyle name="Normal 2 2 2" xfId="69"/>
    <cellStyle name="Normal 2 2 3" xfId="82"/>
    <cellStyle name="Normal 2 3" xfId="83"/>
    <cellStyle name="Normal 2 4" xfId="84"/>
    <cellStyle name="Normal 2 5" xfId="81"/>
    <cellStyle name="Normal 3" xfId="48"/>
    <cellStyle name="Normal 3 2" xfId="70"/>
    <cellStyle name="Normal 3 2 2" xfId="86"/>
    <cellStyle name="Normal 3 3" xfId="87"/>
    <cellStyle name="Normal 3 4" xfId="88"/>
    <cellStyle name="Normal 3 5" xfId="85"/>
    <cellStyle name="Normal 4" xfId="49"/>
    <cellStyle name="Normal 4 2" xfId="89"/>
    <cellStyle name="Normal 5" xfId="50"/>
    <cellStyle name="Normal 5 2" xfId="91"/>
    <cellStyle name="Normal 5 3" xfId="90"/>
    <cellStyle name="Normal 6" xfId="5"/>
    <cellStyle name="Normal 6 2" xfId="92"/>
    <cellStyle name="Normal 7" xfId="51"/>
    <cellStyle name="Normal 7 2" xfId="93"/>
    <cellStyle name="Normal 8" xfId="105"/>
    <cellStyle name="NOTAS - Style3" xfId="109"/>
    <cellStyle name="Notas 2" xfId="52"/>
    <cellStyle name="Notas 2 2" xfId="95"/>
    <cellStyle name="Notas 2 3" xfId="96"/>
    <cellStyle name="Notas 2 4" xfId="97"/>
    <cellStyle name="Notas 2 5" xfId="94"/>
    <cellStyle name="Notas 2_Terminos archivo_MODELO_2013(6ene)" xfId="98"/>
    <cellStyle name="Notas 3" xfId="71"/>
    <cellStyle name="Notas 3 2" xfId="99"/>
    <cellStyle name="Notas 4" xfId="100"/>
    <cellStyle name="Notas 5" xfId="101"/>
    <cellStyle name="Notas 6" xfId="102"/>
    <cellStyle name="Notas 7" xfId="103"/>
    <cellStyle name="Porcentaje" xfId="3" builtinId="5"/>
    <cellStyle name="Porcentaje 2" xfId="53"/>
    <cellStyle name="Porcentaje 2 2" xfId="72"/>
    <cellStyle name="Porcentaje 3" xfId="54"/>
    <cellStyle name="Porcentaje 4" xfId="55"/>
    <cellStyle name="Porcentual 2" xfId="56"/>
    <cellStyle name="Porcentual 2 2" xfId="73"/>
    <cellStyle name="Porcentual 3" xfId="74"/>
    <cellStyle name="Porcentual 3 2" xfId="75"/>
    <cellStyle name="RECUAD - Style4" xfId="110"/>
    <cellStyle name="Salida 2" xfId="57"/>
    <cellStyle name="Texto de advertencia 2" xfId="58"/>
    <cellStyle name="Texto explicativo 2" xfId="59"/>
    <cellStyle name="TEXTO NORMAL" xfId="1"/>
    <cellStyle name="TITULO - Style5" xfId="111"/>
    <cellStyle name="Título 1 2" xfId="60"/>
    <cellStyle name="Título 2 2" xfId="61"/>
    <cellStyle name="Título 3 2" xfId="62"/>
    <cellStyle name="Título 4" xfId="63"/>
    <cellStyle name="Total 2" xfId="64"/>
  </cellStyles>
  <dxfs count="16">
    <dxf>
      <font>
        <color theme="0"/>
      </font>
    </dxf>
    <dxf>
      <numFmt numFmtId="3" formatCode="#,##0"/>
    </dxf>
    <dxf>
      <numFmt numFmtId="3" formatCode="#,##0"/>
    </dxf>
    <dxf>
      <font>
        <color theme="0"/>
      </font>
    </dxf>
    <dxf>
      <border>
        <bottom/>
      </border>
    </dxf>
    <dxf>
      <numFmt numFmtId="3" formatCode="#,##0"/>
    </dxf>
    <dxf>
      <numFmt numFmtId="3" formatCode="#,##0"/>
    </dxf>
    <dxf>
      <font>
        <color theme="0"/>
      </font>
    </dxf>
    <dxf>
      <numFmt numFmtId="3" formatCode="#,##0"/>
    </dxf>
    <dxf>
      <font>
        <color theme="0"/>
      </font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B6DAB4"/>
      <color rgb="FF1674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pivotCacheDefinition" Target="pivotCache/pivotCacheDefinition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pivotCacheDefinition" Target="pivotCache/pivotCacheDefinition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4.xml"/><Relationship Id="rId30" Type="http://schemas.openxmlformats.org/officeDocument/2006/relationships/pivotCacheDefinition" Target="pivotCache/pivotCacheDefinition3.xml"/><Relationship Id="rId35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'[3]INVERSIONES 4'!$C$43:$M$43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2014(p)</c:v>
                </c:pt>
                <c:pt idx="8">
                  <c:v>2015(p)</c:v>
                </c:pt>
                <c:pt idx="9">
                  <c:v>2016(p)</c:v>
                </c:pt>
                <c:pt idx="10">
                  <c:v>2017(p)</c:v>
                </c:pt>
              </c:strCache>
            </c:strRef>
          </c:cat>
          <c:val>
            <c:numRef>
              <c:f>'[3]INVERSIONES 4'!$C$44:$M$44</c:f>
              <c:numCache>
                <c:formatCode>General</c:formatCode>
                <c:ptCount val="11"/>
                <c:pt idx="0">
                  <c:v>390</c:v>
                </c:pt>
                <c:pt idx="1">
                  <c:v>516</c:v>
                </c:pt>
                <c:pt idx="2">
                  <c:v>574</c:v>
                </c:pt>
                <c:pt idx="3">
                  <c:v>1048</c:v>
                </c:pt>
                <c:pt idx="4">
                  <c:v>1580</c:v>
                </c:pt>
                <c:pt idx="5">
                  <c:v>2195</c:v>
                </c:pt>
                <c:pt idx="6">
                  <c:v>2734</c:v>
                </c:pt>
                <c:pt idx="7">
                  <c:v>2817</c:v>
                </c:pt>
                <c:pt idx="8">
                  <c:v>2433</c:v>
                </c:pt>
                <c:pt idx="9">
                  <c:v>1331.672</c:v>
                </c:pt>
                <c:pt idx="10">
                  <c:v>1179.8230000000001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892928"/>
        <c:axId val="130894464"/>
        <c:axId val="0"/>
      </c:bar3DChart>
      <c:catAx>
        <c:axId val="13089292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crossAx val="130894464"/>
        <c:crosses val="autoZero"/>
        <c:auto val="1"/>
        <c:lblAlgn val="ctr"/>
        <c:lblOffset val="100"/>
        <c:noMultiLvlLbl val="0"/>
      </c:catAx>
      <c:valAx>
        <c:axId val="1308944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PE"/>
                  <a:t>MILLONES DE US$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30892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chemeClr val="accent6">
            <a:tint val="50000"/>
            <a:satMod val="300000"/>
          </a:schemeClr>
        </a:gs>
        <a:gs pos="35000">
          <a:schemeClr val="accent6">
            <a:tint val="37000"/>
            <a:satMod val="300000"/>
          </a:schemeClr>
        </a:gs>
        <a:gs pos="100000">
          <a:schemeClr val="accent6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6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PE">
                <a:solidFill>
                  <a:schemeClr val="dk1"/>
                </a:solidFill>
                <a:latin typeface="+mn-lt"/>
                <a:ea typeface="+mn-ea"/>
                <a:cs typeface="+mn-cs"/>
              </a:rPr>
              <a:t>COMPARATIVO ANUAL EN EL MES DE MAYO</a:t>
            </a:r>
            <a:endParaRPr lang="es-PE"/>
          </a:p>
        </c:rich>
      </c:tx>
      <c:layout>
        <c:manualLayout>
          <c:xMode val="edge"/>
          <c:yMode val="edge"/>
          <c:x val="0.28973404534110653"/>
          <c:y val="2.0267640595558467E-2"/>
        </c:manualLayout>
      </c:layout>
      <c:overlay val="0"/>
      <c:spPr>
        <a:gradFill rotWithShape="1">
          <a:gsLst>
            <a:gs pos="0">
              <a:schemeClr val="accent1">
                <a:tint val="50000"/>
                <a:satMod val="300000"/>
              </a:schemeClr>
            </a:gs>
            <a:gs pos="35000">
              <a:schemeClr val="accent1">
                <a:tint val="37000"/>
                <a:satMod val="300000"/>
              </a:schemeClr>
            </a:gs>
            <a:gs pos="100000">
              <a:schemeClr val="accent1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1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'[4]2017_Mayo _EmpleoEnMinería1'!$Q$62</c:f>
              <c:strCache>
                <c:ptCount val="1"/>
                <c:pt idx="0">
                  <c:v>EMPLEO</c:v>
                </c:pt>
              </c:strCache>
            </c:strRef>
          </c:tx>
          <c:invertIfNegative val="0"/>
          <c:dPt>
            <c:idx val="11"/>
            <c:invertIfNegative val="0"/>
            <c:bubble3D val="0"/>
            <c:spPr>
              <a:solidFill>
                <a:srgbClr val="00B05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'[4]2017_Mayo _EmpleoEnMinería1'!$R$61:$AC$61</c:f>
              <c:strCach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 (p)</c:v>
                </c:pt>
                <c:pt idx="10">
                  <c:v>2016 (p)</c:v>
                </c:pt>
                <c:pt idx="11">
                  <c:v>2017 (p)</c:v>
                </c:pt>
              </c:strCache>
            </c:strRef>
          </c:cat>
          <c:val>
            <c:numRef>
              <c:f>'[4]2017_Mayo _EmpleoEnMinería1'!$R$62:$AC$62</c:f>
              <c:numCache>
                <c:formatCode>General</c:formatCode>
                <c:ptCount val="12"/>
                <c:pt idx="0">
                  <c:v>108303</c:v>
                </c:pt>
                <c:pt idx="1">
                  <c:v>120332</c:v>
                </c:pt>
                <c:pt idx="2">
                  <c:v>139403</c:v>
                </c:pt>
                <c:pt idx="3">
                  <c:v>121040</c:v>
                </c:pt>
                <c:pt idx="4">
                  <c:v>139096</c:v>
                </c:pt>
                <c:pt idx="5">
                  <c:v>160449</c:v>
                </c:pt>
                <c:pt idx="6">
                  <c:v>201631</c:v>
                </c:pt>
                <c:pt idx="7">
                  <c:v>216036</c:v>
                </c:pt>
                <c:pt idx="8">
                  <c:v>189363</c:v>
                </c:pt>
                <c:pt idx="9">
                  <c:v>197887</c:v>
                </c:pt>
                <c:pt idx="10">
                  <c:v>165566</c:v>
                </c:pt>
                <c:pt idx="11">
                  <c:v>179755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9536384"/>
        <c:axId val="129537920"/>
        <c:axId val="0"/>
      </c:bar3DChart>
      <c:catAx>
        <c:axId val="12953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9537920"/>
        <c:crosses val="autoZero"/>
        <c:auto val="1"/>
        <c:lblAlgn val="ctr"/>
        <c:lblOffset val="100"/>
        <c:noMultiLvlLbl val="0"/>
      </c:catAx>
      <c:valAx>
        <c:axId val="129537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95363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522477743759801"/>
          <c:y val="0.22776572668112799"/>
          <c:w val="6.6799633715861062E-2"/>
          <c:h val="0.6268980477223427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chemeClr val="accent6">
            <a:tint val="50000"/>
            <a:satMod val="300000"/>
          </a:schemeClr>
        </a:gs>
        <a:gs pos="35000">
          <a:schemeClr val="accent6">
            <a:tint val="37000"/>
            <a:satMod val="300000"/>
          </a:schemeClr>
        </a:gs>
        <a:gs pos="100000">
          <a:schemeClr val="accent6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6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chemeClr val="lt1"/>
                </a:solidFill>
                <a:latin typeface="+mn-lt"/>
                <a:ea typeface="+mn-ea"/>
                <a:cs typeface="+mn-cs"/>
              </a:rPr>
              <a:t>Distribución del Empleo Directo por Regiones Generado por la Actividad Minera </a:t>
            </a:r>
            <a:endParaRPr lang="es-PE">
              <a:solidFill>
                <a:schemeClr val="lt1"/>
              </a:solidFill>
              <a:latin typeface="+mn-lt"/>
              <a:ea typeface="+mn-ea"/>
              <a:cs typeface="+mn-cs"/>
            </a:endParaRPr>
          </a:p>
          <a:p>
            <a:pPr>
              <a:defRPr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chemeClr val="lt1"/>
                </a:solidFill>
                <a:latin typeface="+mn-lt"/>
                <a:ea typeface="+mn-ea"/>
                <a:cs typeface="+mn-cs"/>
              </a:rPr>
              <a:t>en el Mes de Mayo de 2017</a:t>
            </a:r>
            <a:endParaRPr lang="es-PE"/>
          </a:p>
        </c:rich>
      </c:tx>
      <c:layout/>
      <c:overlay val="1"/>
      <c:spPr>
        <a:gradFill rotWithShape="1">
          <a:gsLst>
            <a:gs pos="0">
              <a:schemeClr val="accent6">
                <a:shade val="51000"/>
                <a:satMod val="130000"/>
              </a:schemeClr>
            </a:gs>
            <a:gs pos="80000">
              <a:schemeClr val="accent6">
                <a:shade val="93000"/>
                <a:satMod val="130000"/>
              </a:schemeClr>
            </a:gs>
            <a:gs pos="100000">
              <a:schemeClr val="accent6">
                <a:shade val="94000"/>
                <a:satMod val="135000"/>
              </a:schemeClr>
            </a:gs>
          </a:gsLst>
          <a:lin ang="16200000" scaled="0"/>
        </a:gradFill>
        <a:ln w="9525" cap="flat" cmpd="sng" algn="ctr">
          <a:solidFill>
            <a:schemeClr val="accent6">
              <a:shade val="95000"/>
              <a:satMod val="10500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'[4]2017 Mayo-Per.RegiónYAnual '!$B$12:$B$34</c:f>
              <c:strCache>
                <c:ptCount val="23"/>
                <c:pt idx="0">
                  <c:v>AREQUIPA</c:v>
                </c:pt>
                <c:pt idx="1">
                  <c:v>LA LIBERTAD</c:v>
                </c:pt>
                <c:pt idx="2">
                  <c:v>JUNIN</c:v>
                </c:pt>
                <c:pt idx="3">
                  <c:v>LIMA</c:v>
                </c:pt>
                <c:pt idx="4">
                  <c:v>PASCO</c:v>
                </c:pt>
                <c:pt idx="5">
                  <c:v>CAJAMARCA</c:v>
                </c:pt>
                <c:pt idx="6">
                  <c:v>APURIMAC</c:v>
                </c:pt>
                <c:pt idx="7">
                  <c:v>ANCASH</c:v>
                </c:pt>
                <c:pt idx="8">
                  <c:v>TACNA</c:v>
                </c:pt>
                <c:pt idx="9">
                  <c:v>CUSCO</c:v>
                </c:pt>
                <c:pt idx="10">
                  <c:v>MOQUEGUA</c:v>
                </c:pt>
                <c:pt idx="11">
                  <c:v>ICA</c:v>
                </c:pt>
                <c:pt idx="12">
                  <c:v>AYACUCHO</c:v>
                </c:pt>
                <c:pt idx="13">
                  <c:v>PUNO</c:v>
                </c:pt>
                <c:pt idx="14">
                  <c:v>HUANCAVELICA</c:v>
                </c:pt>
                <c:pt idx="15">
                  <c:v>PIURA</c:v>
                </c:pt>
                <c:pt idx="16">
                  <c:v>HUANUCO</c:v>
                </c:pt>
                <c:pt idx="17">
                  <c:v>MADRE DE DIOS</c:v>
                </c:pt>
                <c:pt idx="18">
                  <c:v>LAMBAYEQUE</c:v>
                </c:pt>
                <c:pt idx="19">
                  <c:v>SAN MARTIN</c:v>
                </c:pt>
                <c:pt idx="20">
                  <c:v>CALLAO</c:v>
                </c:pt>
                <c:pt idx="21">
                  <c:v>AMAZONAS</c:v>
                </c:pt>
                <c:pt idx="22">
                  <c:v>LORETO</c:v>
                </c:pt>
              </c:strCache>
            </c:strRef>
          </c:cat>
          <c:val>
            <c:numRef>
              <c:f>'[4]2017 Mayo-Per.RegiónYAnual '!$C$12:$C$34</c:f>
              <c:numCache>
                <c:formatCode>General</c:formatCode>
                <c:ptCount val="23"/>
                <c:pt idx="0">
                  <c:v>28682</c:v>
                </c:pt>
                <c:pt idx="1">
                  <c:v>17163</c:v>
                </c:pt>
                <c:pt idx="2">
                  <c:v>16139</c:v>
                </c:pt>
                <c:pt idx="3">
                  <c:v>14753</c:v>
                </c:pt>
                <c:pt idx="4">
                  <c:v>14151</c:v>
                </c:pt>
                <c:pt idx="5">
                  <c:v>13562</c:v>
                </c:pt>
                <c:pt idx="6">
                  <c:v>12352</c:v>
                </c:pt>
                <c:pt idx="7">
                  <c:v>11180</c:v>
                </c:pt>
                <c:pt idx="8">
                  <c:v>7874</c:v>
                </c:pt>
                <c:pt idx="9">
                  <c:v>7824</c:v>
                </c:pt>
                <c:pt idx="10">
                  <c:v>7685</c:v>
                </c:pt>
                <c:pt idx="11">
                  <c:v>7458</c:v>
                </c:pt>
                <c:pt idx="12">
                  <c:v>6845</c:v>
                </c:pt>
                <c:pt idx="13">
                  <c:v>4948</c:v>
                </c:pt>
                <c:pt idx="14">
                  <c:v>3783</c:v>
                </c:pt>
                <c:pt idx="15">
                  <c:v>2406</c:v>
                </c:pt>
                <c:pt idx="16">
                  <c:v>2064</c:v>
                </c:pt>
                <c:pt idx="17">
                  <c:v>686</c:v>
                </c:pt>
                <c:pt idx="18">
                  <c:v>99</c:v>
                </c:pt>
                <c:pt idx="19">
                  <c:v>56</c:v>
                </c:pt>
                <c:pt idx="20">
                  <c:v>19</c:v>
                </c:pt>
                <c:pt idx="21">
                  <c:v>14</c:v>
                </c:pt>
                <c:pt idx="22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647168"/>
        <c:axId val="134653056"/>
        <c:axId val="0"/>
      </c:bar3DChart>
      <c:catAx>
        <c:axId val="134647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653056"/>
        <c:crosses val="autoZero"/>
        <c:auto val="1"/>
        <c:lblAlgn val="ctr"/>
        <c:lblOffset val="100"/>
        <c:noMultiLvlLbl val="0"/>
      </c:catAx>
      <c:valAx>
        <c:axId val="134653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6471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3681402459473062"/>
          <c:y val="0.47489588259990623"/>
          <c:w val="5.5860855816499091E-2"/>
          <c:h val="5.0209256310122241E-2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chemeClr val="accent1">
            <a:tint val="50000"/>
            <a:satMod val="300000"/>
          </a:schemeClr>
        </a:gs>
        <a:gs pos="35000">
          <a:schemeClr val="accent1">
            <a:tint val="37000"/>
            <a:satMod val="300000"/>
          </a:schemeClr>
        </a:gs>
        <a:gs pos="100000">
          <a:schemeClr val="accent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chemeClr val="lt1"/>
                </a:solidFill>
                <a:latin typeface="+mn-lt"/>
                <a:ea typeface="+mn-ea"/>
                <a:cs typeface="+mn-cs"/>
              </a:rPr>
              <a:t>Comparativo Anual de Nro. de Trabajadores en el Mes de Mayo</a:t>
            </a:r>
            <a:endParaRPr lang="es-PE"/>
          </a:p>
        </c:rich>
      </c:tx>
      <c:layout/>
      <c:overlay val="0"/>
      <c:spPr>
        <a:gradFill rotWithShape="1">
          <a:gsLst>
            <a:gs pos="0">
              <a:schemeClr val="accent3">
                <a:shade val="51000"/>
                <a:satMod val="130000"/>
              </a:schemeClr>
            </a:gs>
            <a:gs pos="80000">
              <a:schemeClr val="accent3">
                <a:shade val="93000"/>
                <a:satMod val="130000"/>
              </a:schemeClr>
            </a:gs>
            <a:gs pos="100000">
              <a:schemeClr val="accent3">
                <a:shade val="94000"/>
                <a:satMod val="135000"/>
              </a:schemeClr>
            </a:gs>
          </a:gsLst>
          <a:lin ang="16200000" scaled="0"/>
        </a:gradFill>
        <a:ln w="9525" cap="flat" cmpd="sng" algn="ctr">
          <a:solidFill>
            <a:schemeClr val="accent3">
              <a:shade val="95000"/>
              <a:satMod val="10500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gradFill rotWithShape="1">
          <a:gsLst>
            <a:gs pos="0">
              <a:schemeClr val="accent3">
                <a:tint val="50000"/>
                <a:satMod val="300000"/>
              </a:schemeClr>
            </a:gs>
            <a:gs pos="35000">
              <a:schemeClr val="accent3">
                <a:tint val="37000"/>
                <a:satMod val="300000"/>
              </a:schemeClr>
            </a:gs>
            <a:gs pos="100000">
              <a:schemeClr val="accent3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3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sideWall>
    <c:backWall>
      <c:thickness val="0"/>
      <c:spPr>
        <a:gradFill rotWithShape="1">
          <a:gsLst>
            <a:gs pos="0">
              <a:schemeClr val="accent3">
                <a:tint val="50000"/>
                <a:satMod val="300000"/>
              </a:schemeClr>
            </a:gs>
            <a:gs pos="35000">
              <a:schemeClr val="accent3">
                <a:tint val="37000"/>
                <a:satMod val="300000"/>
              </a:schemeClr>
            </a:gs>
            <a:gs pos="100000">
              <a:schemeClr val="accent3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3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'[4]2017 Mayo-Per.RegiónYAnual '!$B$45</c:f>
              <c:strCache>
                <c:ptCount val="1"/>
                <c:pt idx="0">
                  <c:v>Nro. de Trabajadores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'[4]2017 Mayo-Per.RegiónYAnual '!$C$44:$N$44</c:f>
              <c:strCache>
                <c:ptCount val="12"/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 (p)</c:v>
                </c:pt>
                <c:pt idx="10">
                  <c:v>2016 (p)</c:v>
                </c:pt>
                <c:pt idx="11">
                  <c:v>2017 (p)</c:v>
                </c:pt>
              </c:strCache>
            </c:strRef>
          </c:cat>
          <c:val>
            <c:numRef>
              <c:f>'[4]2017 Mayo-Per.RegiónYAnual '!$C$45:$N$45</c:f>
              <c:numCache>
                <c:formatCode>General</c:formatCode>
                <c:ptCount val="12"/>
                <c:pt idx="1">
                  <c:v>120332</c:v>
                </c:pt>
                <c:pt idx="2">
                  <c:v>139403</c:v>
                </c:pt>
                <c:pt idx="3">
                  <c:v>121040</c:v>
                </c:pt>
                <c:pt idx="4">
                  <c:v>139096</c:v>
                </c:pt>
                <c:pt idx="5">
                  <c:v>160449</c:v>
                </c:pt>
                <c:pt idx="6">
                  <c:v>201631</c:v>
                </c:pt>
                <c:pt idx="7">
                  <c:v>216036</c:v>
                </c:pt>
                <c:pt idx="8">
                  <c:v>189363</c:v>
                </c:pt>
                <c:pt idx="9">
                  <c:v>197887</c:v>
                </c:pt>
                <c:pt idx="10">
                  <c:v>165566</c:v>
                </c:pt>
                <c:pt idx="11">
                  <c:v>179755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663552"/>
        <c:axId val="145175680"/>
        <c:axId val="0"/>
      </c:bar3DChart>
      <c:catAx>
        <c:axId val="134663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5175680"/>
        <c:crosses val="autoZero"/>
        <c:auto val="1"/>
        <c:lblAlgn val="ctr"/>
        <c:lblOffset val="100"/>
        <c:noMultiLvlLbl val="0"/>
      </c:catAx>
      <c:valAx>
        <c:axId val="1451756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PE"/>
                  <a:t>NRO. DE TRABAJADORES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4663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179770293919597"/>
          <c:y val="0.52109244277833577"/>
          <c:w val="0.15783419016990285"/>
          <c:h val="5.9553422031809806E-2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chemeClr val="accent6">
            <a:shade val="51000"/>
            <a:satMod val="130000"/>
          </a:schemeClr>
        </a:gs>
        <a:gs pos="80000">
          <a:schemeClr val="accent6">
            <a:shade val="93000"/>
            <a:satMod val="130000"/>
          </a:schemeClr>
        </a:gs>
        <a:gs pos="100000">
          <a:schemeClr val="accent6">
            <a:shade val="94000"/>
            <a:satMod val="135000"/>
          </a:schemeClr>
        </a:gs>
      </a:gsLst>
      <a:lin ang="16200000" scaled="0"/>
    </a:gradFill>
    <a:ln w="9525" cap="flat" cmpd="sng" algn="ctr">
      <a:solidFill>
        <a:schemeClr val="accent6">
          <a:shade val="95000"/>
          <a:satMod val="105000"/>
        </a:schemeClr>
      </a:solidFill>
      <a:prstDash val="solid"/>
    </a:ln>
    <a:effectLst>
      <a:outerShdw blurRad="40000" dist="23000" dir="5400000" rotWithShape="0">
        <a:srgbClr val="000000">
          <a:alpha val="35000"/>
        </a:srgbClr>
      </a:outerShdw>
    </a:effectLst>
  </c:spPr>
  <c:txPr>
    <a:bodyPr/>
    <a:lstStyle/>
    <a:p>
      <a:pPr>
        <a:defRPr>
          <a:solidFill>
            <a:schemeClr val="lt1"/>
          </a:solidFill>
          <a:latin typeface="+mn-lt"/>
          <a:ea typeface="+mn-ea"/>
          <a:cs typeface="+mn-cs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chemeClr val="lt1"/>
                </a:solidFill>
                <a:latin typeface="+mn-lt"/>
                <a:ea typeface="+mn-ea"/>
                <a:cs typeface="+mn-cs"/>
              </a:rPr>
              <a:t>Personal Empleado en el Mes de Mayo de Cada Año Respectivamente</a:t>
            </a:r>
            <a:endParaRPr lang="es-PE"/>
          </a:p>
        </c:rich>
      </c:tx>
      <c:layout/>
      <c:overlay val="0"/>
      <c:spPr>
        <a:gradFill rotWithShape="1">
          <a:gsLst>
            <a:gs pos="0">
              <a:schemeClr val="accent3">
                <a:shade val="51000"/>
                <a:satMod val="130000"/>
              </a:schemeClr>
            </a:gs>
            <a:gs pos="80000">
              <a:schemeClr val="accent3">
                <a:shade val="93000"/>
                <a:satMod val="130000"/>
              </a:schemeClr>
            </a:gs>
            <a:gs pos="100000">
              <a:schemeClr val="accent3">
                <a:shade val="94000"/>
                <a:satMod val="135000"/>
              </a:schemeClr>
            </a:gs>
          </a:gsLst>
          <a:lin ang="16200000" scaled="0"/>
        </a:gradFill>
        <a:ln w="9525" cap="flat" cmpd="sng" algn="ctr">
          <a:solidFill>
            <a:schemeClr val="accent3">
              <a:shade val="95000"/>
              <a:satMod val="10500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'[4]2017 Mayo-Per.RegiónYAnual '!$B$45</c:f>
              <c:strCache>
                <c:ptCount val="1"/>
                <c:pt idx="0">
                  <c:v>Nro. de Trabajadores</c:v>
                </c:pt>
              </c:strCache>
            </c:strRef>
          </c:tx>
          <c:dLbls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'[4]2017 Mayo-Per.RegiónYAnual '!$C$44:$N$44</c:f>
              <c:strCache>
                <c:ptCount val="12"/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 (p)</c:v>
                </c:pt>
                <c:pt idx="10">
                  <c:v>2016 (p)</c:v>
                </c:pt>
                <c:pt idx="11">
                  <c:v>2017 (p)</c:v>
                </c:pt>
              </c:strCache>
            </c:strRef>
          </c:cat>
          <c:val>
            <c:numRef>
              <c:f>'[4]2017 Mayo-Per.RegiónYAnual '!$C$45:$N$45</c:f>
              <c:numCache>
                <c:formatCode>General</c:formatCode>
                <c:ptCount val="12"/>
                <c:pt idx="1">
                  <c:v>120332</c:v>
                </c:pt>
                <c:pt idx="2">
                  <c:v>139403</c:v>
                </c:pt>
                <c:pt idx="3">
                  <c:v>121040</c:v>
                </c:pt>
                <c:pt idx="4">
                  <c:v>139096</c:v>
                </c:pt>
                <c:pt idx="5">
                  <c:v>160449</c:v>
                </c:pt>
                <c:pt idx="6">
                  <c:v>201631</c:v>
                </c:pt>
                <c:pt idx="7">
                  <c:v>216036</c:v>
                </c:pt>
                <c:pt idx="8">
                  <c:v>189363</c:v>
                </c:pt>
                <c:pt idx="9">
                  <c:v>197887</c:v>
                </c:pt>
                <c:pt idx="10">
                  <c:v>165566</c:v>
                </c:pt>
                <c:pt idx="11">
                  <c:v>179755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209216"/>
        <c:axId val="145210752"/>
      </c:lineChart>
      <c:catAx>
        <c:axId val="145209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5210752"/>
        <c:crosses val="autoZero"/>
        <c:auto val="1"/>
        <c:lblAlgn val="ctr"/>
        <c:lblOffset val="100"/>
        <c:noMultiLvlLbl val="0"/>
      </c:catAx>
      <c:valAx>
        <c:axId val="1452107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PE"/>
                  <a:t>nro. de trabajadores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5209216"/>
        <c:crosses val="autoZero"/>
        <c:crossBetween val="between"/>
      </c:valAx>
      <c:spPr>
        <a:gradFill rotWithShape="1">
          <a:gsLst>
            <a:gs pos="0">
              <a:schemeClr val="accent3">
                <a:tint val="50000"/>
                <a:satMod val="300000"/>
              </a:schemeClr>
            </a:gs>
            <a:gs pos="35000">
              <a:schemeClr val="accent3">
                <a:tint val="37000"/>
                <a:satMod val="300000"/>
              </a:schemeClr>
            </a:gs>
            <a:gs pos="100000">
              <a:schemeClr val="accent3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3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legend>
      <c:legendPos val="r"/>
      <c:layout>
        <c:manualLayout>
          <c:xMode val="edge"/>
          <c:yMode val="edge"/>
          <c:x val="0.79522661846010967"/>
          <c:y val="0.55335054637889947"/>
          <c:w val="0.19472373753762559"/>
          <c:h val="5.9553422031809806E-2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chemeClr val="accent6">
            <a:shade val="51000"/>
            <a:satMod val="130000"/>
          </a:schemeClr>
        </a:gs>
        <a:gs pos="80000">
          <a:schemeClr val="accent6">
            <a:shade val="93000"/>
            <a:satMod val="130000"/>
          </a:schemeClr>
        </a:gs>
        <a:gs pos="100000">
          <a:schemeClr val="accent6">
            <a:shade val="94000"/>
            <a:satMod val="135000"/>
          </a:schemeClr>
        </a:gs>
      </a:gsLst>
      <a:lin ang="16200000" scaled="0"/>
    </a:gradFill>
    <a:ln w="9525" cap="flat" cmpd="sng" algn="ctr">
      <a:solidFill>
        <a:schemeClr val="accent6">
          <a:shade val="95000"/>
          <a:satMod val="105000"/>
        </a:schemeClr>
      </a:solidFill>
      <a:prstDash val="solid"/>
    </a:ln>
    <a:effectLst>
      <a:outerShdw blurRad="40000" dist="23000" dir="5400000" rotWithShape="0">
        <a:srgbClr val="000000">
          <a:alpha val="35000"/>
        </a:srgbClr>
      </a:outerShdw>
    </a:effectLst>
  </c:spPr>
  <c:txPr>
    <a:bodyPr/>
    <a:lstStyle/>
    <a:p>
      <a:pPr>
        <a:defRPr>
          <a:solidFill>
            <a:schemeClr val="lt1"/>
          </a:solidFill>
          <a:latin typeface="+mn-lt"/>
          <a:ea typeface="+mn-ea"/>
          <a:cs typeface="+mn-cs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3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43</xdr:row>
      <xdr:rowOff>171450</xdr:rowOff>
    </xdr:from>
    <xdr:to>
      <xdr:col>13</xdr:col>
      <xdr:colOff>200025</xdr:colOff>
      <xdr:row>66</xdr:row>
      <xdr:rowOff>180975</xdr:rowOff>
    </xdr:to>
    <xdr:graphicFrame macro="">
      <xdr:nvGraphicFramePr>
        <xdr:cNvPr id="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657225</xdr:colOff>
      <xdr:row>10</xdr:row>
      <xdr:rowOff>38100</xdr:rowOff>
    </xdr:from>
    <xdr:to>
      <xdr:col>18</xdr:col>
      <xdr:colOff>390525</xdr:colOff>
      <xdr:row>34</xdr:row>
      <xdr:rowOff>19050</xdr:rowOff>
    </xdr:to>
    <xdr:graphicFrame macro="">
      <xdr:nvGraphicFramePr>
        <xdr:cNvPr id="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742950</xdr:colOff>
      <xdr:row>49</xdr:row>
      <xdr:rowOff>66675</xdr:rowOff>
    </xdr:from>
    <xdr:to>
      <xdr:col>11</xdr:col>
      <xdr:colOff>400050</xdr:colOff>
      <xdr:row>69</xdr:row>
      <xdr:rowOff>95250</xdr:rowOff>
    </xdr:to>
    <xdr:graphicFrame macro="">
      <xdr:nvGraphicFramePr>
        <xdr:cNvPr id="6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504825</xdr:colOff>
      <xdr:row>49</xdr:row>
      <xdr:rowOff>76200</xdr:rowOff>
    </xdr:from>
    <xdr:to>
      <xdr:col>21</xdr:col>
      <xdr:colOff>466725</xdr:colOff>
      <xdr:row>69</xdr:row>
      <xdr:rowOff>104775</xdr:rowOff>
    </xdr:to>
    <xdr:graphicFrame macro="">
      <xdr:nvGraphicFramePr>
        <xdr:cNvPr id="7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os%20HOYOS\____________________________________historico\INVER%20MARZO\INVER_2017_marz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banto\AppData\Local\Microsoft\Windows\INetCache\Content.Outlook\LF9JNYUF\INVER_MAYO%202017%20(FINALIZADO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banto\AppData\Local\Microsoft\Windows\INetCache\Content.Outlook\LF9JNYUF\INV_ABRIL_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banto\AppData\Local\Microsoft\Windows\INetCache\Content.Outlook\LF9JNYUF\DATA%20EMPLEO%20AL%2021%20DE%20JUNIO%20D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rsiones 1"/>
      <sheetName val="Inversiones 2"/>
      <sheetName val="Inversiones 3"/>
      <sheetName val="Inversiones 4"/>
      <sheetName val="Inversiones 5"/>
      <sheetName val="inversiones 6a"/>
      <sheetName val="Inversiones 6"/>
      <sheetName val="Hoja3"/>
    </sheetNames>
    <sheetDataSet>
      <sheetData sheetId="0" refreshError="1">
        <row r="21">
          <cell r="J21">
            <v>865396874.3599999</v>
          </cell>
        </row>
        <row r="22">
          <cell r="J22">
            <v>1020922210.95</v>
          </cell>
        </row>
      </sheetData>
      <sheetData sheetId="1" refreshError="1">
        <row r="58">
          <cell r="D58">
            <v>1020922210.95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Inversiones 1"/>
      <sheetName val="Inversiones 2"/>
      <sheetName val="Inversiones 3"/>
      <sheetName val="Inversiones 4"/>
      <sheetName val="Inversiones 5"/>
      <sheetName val="Inversiones 6"/>
      <sheetName val="Inversiones 6a"/>
    </sheetNames>
    <sheetDataSet>
      <sheetData sheetId="0" refreshError="1"/>
      <sheetData sheetId="1">
        <row r="23">
          <cell r="O23" t="str">
            <v>EQ. DE PTA DE BENEFICIO</v>
          </cell>
        </row>
      </sheetData>
      <sheetData sheetId="2" refreshError="1"/>
      <sheetData sheetId="3" refreshError="1"/>
      <sheetData sheetId="4">
        <row r="10">
          <cell r="C10" t="str">
            <v>CUSCO</v>
          </cell>
        </row>
      </sheetData>
      <sheetData sheetId="5">
        <row r="11">
          <cell r="D11">
            <v>2005</v>
          </cell>
        </row>
      </sheetData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RSIONES 1"/>
      <sheetName val="INVERSIONES 2"/>
      <sheetName val="INVERSIONES 3"/>
      <sheetName val="INVERSIONES 4"/>
      <sheetName val="INVERSIONES 5"/>
      <sheetName val="INVERSIONES 6"/>
      <sheetName val="INVERSIONES 6A"/>
    </sheetNames>
    <sheetDataSet>
      <sheetData sheetId="0">
        <row r="38">
          <cell r="O38" t="str">
            <v>EQ. DE PTA DE BENEFICIO</v>
          </cell>
        </row>
      </sheetData>
      <sheetData sheetId="1"/>
      <sheetData sheetId="2"/>
      <sheetData sheetId="3">
        <row r="12">
          <cell r="B12" t="str">
            <v>CUSCO</v>
          </cell>
        </row>
        <row r="43">
          <cell r="C43">
            <v>2007</v>
          </cell>
          <cell r="D43">
            <v>2008</v>
          </cell>
          <cell r="E43">
            <v>2009</v>
          </cell>
          <cell r="F43">
            <v>2010</v>
          </cell>
          <cell r="G43">
            <v>2011</v>
          </cell>
          <cell r="H43">
            <v>2012</v>
          </cell>
          <cell r="I43">
            <v>2013</v>
          </cell>
          <cell r="J43" t="str">
            <v>2014(p)</v>
          </cell>
          <cell r="K43" t="str">
            <v>2015(p)</v>
          </cell>
          <cell r="L43" t="str">
            <v>2016(p)</v>
          </cell>
          <cell r="M43" t="str">
            <v>2017(p)</v>
          </cell>
        </row>
        <row r="44">
          <cell r="C44">
            <v>390</v>
          </cell>
          <cell r="D44">
            <v>516</v>
          </cell>
          <cell r="E44">
            <v>574</v>
          </cell>
          <cell r="F44">
            <v>1048</v>
          </cell>
          <cell r="G44">
            <v>1580</v>
          </cell>
          <cell r="H44">
            <v>2195</v>
          </cell>
          <cell r="I44">
            <v>2734</v>
          </cell>
          <cell r="J44">
            <v>2817</v>
          </cell>
          <cell r="K44">
            <v>2433</v>
          </cell>
          <cell r="L44">
            <v>1331.672</v>
          </cell>
          <cell r="M44">
            <v>1179.8230000000001</v>
          </cell>
        </row>
      </sheetData>
      <sheetData sheetId="4">
        <row r="9">
          <cell r="D9">
            <v>2005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2017_Mayo _EmpleoEnMinería1"/>
      <sheetName val="2017 Mayo-Per.RegiónYAnual "/>
    </sheetNames>
    <sheetDataSet>
      <sheetData sheetId="0" refreshError="1"/>
      <sheetData sheetId="1">
        <row r="61">
          <cell r="R61">
            <v>2006</v>
          </cell>
          <cell r="S61">
            <v>2007</v>
          </cell>
          <cell r="T61">
            <v>2008</v>
          </cell>
          <cell r="U61">
            <v>2009</v>
          </cell>
          <cell r="V61">
            <v>2010</v>
          </cell>
          <cell r="W61">
            <v>2011</v>
          </cell>
          <cell r="X61">
            <v>2012</v>
          </cell>
          <cell r="Y61">
            <v>2013</v>
          </cell>
          <cell r="Z61">
            <v>2014</v>
          </cell>
          <cell r="AA61" t="str">
            <v>2015 (p)</v>
          </cell>
          <cell r="AB61" t="str">
            <v>2016 (p)</v>
          </cell>
          <cell r="AC61" t="str">
            <v>2017 (p)</v>
          </cell>
        </row>
        <row r="62">
          <cell r="Q62" t="str">
            <v>EMPLEO</v>
          </cell>
          <cell r="R62">
            <v>108303</v>
          </cell>
          <cell r="S62">
            <v>120332</v>
          </cell>
          <cell r="T62">
            <v>139403</v>
          </cell>
          <cell r="U62">
            <v>121040</v>
          </cell>
          <cell r="V62">
            <v>139096</v>
          </cell>
          <cell r="W62">
            <v>160449</v>
          </cell>
          <cell r="X62">
            <v>201631</v>
          </cell>
          <cell r="Y62">
            <v>216036</v>
          </cell>
          <cell r="Z62">
            <v>189363</v>
          </cell>
          <cell r="AA62">
            <v>197887</v>
          </cell>
          <cell r="AB62">
            <v>165566</v>
          </cell>
          <cell r="AC62">
            <v>179755</v>
          </cell>
        </row>
      </sheetData>
      <sheetData sheetId="2">
        <row r="12">
          <cell r="B12" t="str">
            <v>AREQUIPA</v>
          </cell>
          <cell r="C12">
            <v>28682</v>
          </cell>
        </row>
        <row r="13">
          <cell r="B13" t="str">
            <v>LA LIBERTAD</v>
          </cell>
          <cell r="C13">
            <v>17163</v>
          </cell>
        </row>
        <row r="14">
          <cell r="B14" t="str">
            <v>JUNIN</v>
          </cell>
          <cell r="C14">
            <v>16139</v>
          </cell>
        </row>
        <row r="15">
          <cell r="B15" t="str">
            <v>LIMA</v>
          </cell>
          <cell r="C15">
            <v>14753</v>
          </cell>
        </row>
        <row r="16">
          <cell r="B16" t="str">
            <v>PASCO</v>
          </cell>
          <cell r="C16">
            <v>14151</v>
          </cell>
        </row>
        <row r="17">
          <cell r="B17" t="str">
            <v>CAJAMARCA</v>
          </cell>
          <cell r="C17">
            <v>13562</v>
          </cell>
        </row>
        <row r="18">
          <cell r="B18" t="str">
            <v>APURIMAC</v>
          </cell>
          <cell r="C18">
            <v>12352</v>
          </cell>
        </row>
        <row r="19">
          <cell r="B19" t="str">
            <v>ANCASH</v>
          </cell>
          <cell r="C19">
            <v>11180</v>
          </cell>
        </row>
        <row r="20">
          <cell r="B20" t="str">
            <v>TACNA</v>
          </cell>
          <cell r="C20">
            <v>7874</v>
          </cell>
        </row>
        <row r="21">
          <cell r="B21" t="str">
            <v>CUSCO</v>
          </cell>
          <cell r="C21">
            <v>7824</v>
          </cell>
        </row>
        <row r="22">
          <cell r="B22" t="str">
            <v>MOQUEGUA</v>
          </cell>
          <cell r="C22">
            <v>7685</v>
          </cell>
        </row>
        <row r="23">
          <cell r="B23" t="str">
            <v>ICA</v>
          </cell>
          <cell r="C23">
            <v>7458</v>
          </cell>
        </row>
        <row r="24">
          <cell r="B24" t="str">
            <v>AYACUCHO</v>
          </cell>
          <cell r="C24">
            <v>6845</v>
          </cell>
        </row>
        <row r="25">
          <cell r="B25" t="str">
            <v>PUNO</v>
          </cell>
          <cell r="C25">
            <v>4948</v>
          </cell>
        </row>
        <row r="26">
          <cell r="B26" t="str">
            <v>HUANCAVELICA</v>
          </cell>
          <cell r="C26">
            <v>3783</v>
          </cell>
        </row>
        <row r="27">
          <cell r="B27" t="str">
            <v>PIURA</v>
          </cell>
          <cell r="C27">
            <v>2406</v>
          </cell>
        </row>
        <row r="28">
          <cell r="B28" t="str">
            <v>HUANUCO</v>
          </cell>
          <cell r="C28">
            <v>2064</v>
          </cell>
        </row>
        <row r="29">
          <cell r="B29" t="str">
            <v>MADRE DE DIOS</v>
          </cell>
          <cell r="C29">
            <v>686</v>
          </cell>
        </row>
        <row r="30">
          <cell r="B30" t="str">
            <v>LAMBAYEQUE</v>
          </cell>
          <cell r="C30">
            <v>99</v>
          </cell>
        </row>
        <row r="31">
          <cell r="B31" t="str">
            <v>SAN MARTIN</v>
          </cell>
          <cell r="C31">
            <v>56</v>
          </cell>
        </row>
        <row r="32">
          <cell r="B32" t="str">
            <v>CALLAO</v>
          </cell>
          <cell r="C32">
            <v>19</v>
          </cell>
        </row>
        <row r="33">
          <cell r="B33" t="str">
            <v>AMAZONAS</v>
          </cell>
          <cell r="C33">
            <v>14</v>
          </cell>
        </row>
        <row r="34">
          <cell r="B34" t="str">
            <v>LORETO</v>
          </cell>
          <cell r="C34">
            <v>12</v>
          </cell>
        </row>
        <row r="44">
          <cell r="D44">
            <v>2007</v>
          </cell>
          <cell r="E44">
            <v>2008</v>
          </cell>
          <cell r="F44">
            <v>2009</v>
          </cell>
          <cell r="G44">
            <v>2010</v>
          </cell>
          <cell r="H44">
            <v>2011</v>
          </cell>
          <cell r="I44">
            <v>2012</v>
          </cell>
          <cell r="J44">
            <v>2013</v>
          </cell>
          <cell r="K44">
            <v>2014</v>
          </cell>
          <cell r="L44" t="str">
            <v>2015 (p)</v>
          </cell>
          <cell r="M44" t="str">
            <v>2016 (p)</v>
          </cell>
          <cell r="N44" t="str">
            <v>2017 (p)</v>
          </cell>
        </row>
        <row r="45">
          <cell r="B45" t="str">
            <v>Nro. de Trabajadores</v>
          </cell>
          <cell r="D45">
            <v>120332</v>
          </cell>
          <cell r="E45">
            <v>139403</v>
          </cell>
          <cell r="F45">
            <v>121040</v>
          </cell>
          <cell r="G45">
            <v>139096</v>
          </cell>
          <cell r="H45">
            <v>160449</v>
          </cell>
          <cell r="I45">
            <v>201631</v>
          </cell>
          <cell r="J45">
            <v>216036</v>
          </cell>
          <cell r="K45">
            <v>189363</v>
          </cell>
          <cell r="L45">
            <v>197887</v>
          </cell>
          <cell r="M45">
            <v>165566</v>
          </cell>
          <cell r="N45">
            <v>179755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abanto\AppData\Local\Microsoft\Windows\INetCache\Content.Outlook\LF9JNYUF\DATA%20EMPLEO%20AL%2021%20DE%20JUNIO%20DE%202017.xls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abanto\AppData\Local\Microsoft\Windows\INetCache\Content.Outlook\LF9JNYUF\DATA%20EMPLEO%20AL%2021%20DE%20JUNIO%20DE%202017.xls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abanto\AppData\Local\Microsoft\Windows\INetCache\Content.Outlook\LF9JNYUF\INVER_MAYO%202017%20(FINALIZADO).xls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abanto\AppData\Local\Microsoft\Windows\INetCache\Content.Outlook\LF9JNYUF\INVER_MAYO%202017%20(FINALIZADO).xls" TargetMode="External"/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oyos Huanca Diego Guillermo" refreshedDate="42907.385853125001" createdVersion="4" refreshedVersion="4" minRefreshableVersion="3" recordCount="23">
  <cacheSource type="worksheet">
    <worksheetSource ref="P35:Q58" sheet="2017_Mayo _EmpleoEnMinería1" r:id="rId2"/>
  </cacheSource>
  <cacheFields count="2">
    <cacheField name="DEPARTAMENTO" numFmtId="0">
      <sharedItems count="23">
        <s v="AMAZONAS"/>
        <s v="ANCASH"/>
        <s v="APURIMAC"/>
        <s v="AREQUIPA"/>
        <s v="AYACUCHO"/>
        <s v="CAJAMARCA"/>
        <s v="CALLAO"/>
        <s v="CUSCO"/>
        <s v="HUANCAVELICA"/>
        <s v="HUANUCO"/>
        <s v="ICA"/>
        <s v="JUNIN"/>
        <s v="LA LIBERTAD"/>
        <s v="LAMBAYEQUE"/>
        <s v="LIMA"/>
        <s v="LORETO"/>
        <s v="MADRE DE DIOS"/>
        <s v="MOQUEGUA"/>
        <s v="PASCO"/>
        <s v="PIURA"/>
        <s v="PUNO"/>
        <s v="SAN MARTIN"/>
        <s v="TACNA"/>
      </sharedItems>
    </cacheField>
    <cacheField name="2017-05" numFmtId="0">
      <sharedItems containsSemiMixedTypes="0" containsString="0" containsNumber="1" containsInteger="1" minValue="12" maxValue="3720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Hoyos Huanca Diego Guillermo" refreshedDate="42908.522289699074" createdVersion="1" refreshedVersion="4" recordCount="23">
  <cacheSource type="worksheet">
    <worksheetSource ref="V35:W58" sheet="2017_Mayo _EmpleoEnMinería1" r:id="rId2"/>
  </cacheSource>
  <cacheFields count="2">
    <cacheField name="DEPARTAMENTO" numFmtId="0">
      <sharedItems count="23">
        <s v="JUNIN"/>
        <s v="AREQUIPA"/>
        <s v="LA LIBERTAD"/>
        <s v="LIMA"/>
        <s v="PASCO"/>
        <s v="CAJAMARCA"/>
        <s v="APURIMAC"/>
        <s v="ANCASH"/>
        <s v="TACNA"/>
        <s v="CUSCO"/>
        <s v="MOQUEGUA"/>
        <s v="ICA"/>
        <s v="AYACUCHO"/>
        <s v="PUNO"/>
        <s v="HUANCAVELICA"/>
        <s v="PIURA"/>
        <s v="HUANUCO"/>
        <s v="MADRE DE DIOS"/>
        <s v="LAMBAYEQUE"/>
        <s v="SAN MARTIN"/>
        <s v="CALLAO"/>
        <s v="AMAZONAS"/>
        <s v="LORETO"/>
      </sharedItems>
    </cacheField>
    <cacheField name="2017-05" numFmtId="0">
      <sharedItems containsSemiMixedTypes="0" containsString="0" containsNumber="1" containsInteger="1" minValue="12" maxValue="2868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Hoyos Huanca Diego Guillermo" refreshedDate="42905.634056365743" createdVersion="4" refreshedVersion="4" minRefreshableVersion="3" recordCount="26">
  <cacheSource type="worksheet">
    <worksheetSource ref="AJ5:AL31" sheet="Inversiones 4" r:id="rId2"/>
  </cacheSource>
  <cacheFields count="3">
    <cacheField name="DEPARTAMENTO" numFmtId="0">
      <sharedItems count="26">
        <s v="AMAZONAS"/>
        <s v="ANCASH"/>
        <s v="APURIMAC"/>
        <s v="AREQUIPA"/>
        <s v="AYACUCHO"/>
        <s v="CAJAMARCA"/>
        <s v="CALLAO"/>
        <s v="CUSCO"/>
        <s v="HUANCAVELICA"/>
        <s v="HUANUCO"/>
        <s v="ICA"/>
        <s v="INTERNACIONAL"/>
        <s v="JUNIN"/>
        <s v="LA LIBERTAD"/>
        <s v="LAMBAYEQUE"/>
        <s v="LIMA"/>
        <s v="LORETO"/>
        <s v="MADRE DE DIOS"/>
        <s v="MAR"/>
        <s v="MOQUEGUA"/>
        <s v="PASCO"/>
        <s v="PIURA"/>
        <s v="PUNO"/>
        <s v="SAN MARTIN"/>
        <s v="TACNA"/>
        <s v="TUMBES"/>
      </sharedItems>
    </cacheField>
    <cacheField name="2016" numFmtId="0">
      <sharedItems containsSemiMixedTypes="0" containsString="0" containsNumber="1" minValue="0" maxValue="282538507.74000001"/>
    </cacheField>
    <cacheField name="2017" numFmtId="0">
      <sharedItems containsSemiMixedTypes="0" containsString="0" containsNumber="1" minValue="0" maxValue="287779874.830000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Hoyos Huanca Diego Guillermo" refreshedDate="42905.642601157408" createdVersion="4" refreshedVersion="4" minRefreshableVersion="3" recordCount="24">
  <cacheSource type="worksheet">
    <worksheetSource ref="AU36:AW60" sheet="Inversiones 4" r:id="rId2"/>
  </cacheSource>
  <cacheFields count="3">
    <cacheField name="DEPARTAMENTO" numFmtId="0">
      <sharedItems count="24">
        <s v="AMAZONAS"/>
        <s v="ANCASH"/>
        <s v="APURIMAC"/>
        <s v="AREQUIPA"/>
        <s v="AYACUCHO"/>
        <s v="CAJAMARCA"/>
        <s v="CALLAO"/>
        <s v="CUSCO"/>
        <s v="HUANCAVELICA"/>
        <s v="HUANUCO"/>
        <s v="ICA"/>
        <s v="JUNIN"/>
        <s v="LA LIBERTAD"/>
        <s v="LAMBAYEQUE"/>
        <s v="LIMA"/>
        <s v="LORETO"/>
        <s v="MADRE DE DIOS"/>
        <s v="MOQUEGUA"/>
        <s v="PASCO"/>
        <s v="PIURA"/>
        <s v="PUNO"/>
        <s v="SAN MARTIN"/>
        <s v="TACNA"/>
        <s v="TUMBES"/>
      </sharedItems>
    </cacheField>
    <cacheField name="2016" numFmtId="0">
      <sharedItems containsSemiMixedTypes="0" containsString="0" containsNumber="1" minValue="0" maxValue="282538507.74000001"/>
    </cacheField>
    <cacheField name="2017" numFmtId="0">
      <sharedItems containsSemiMixedTypes="0" containsString="0" containsNumber="1" minValue="16000" maxValue="287779874.830000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">
  <r>
    <x v="0"/>
    <n v="14"/>
  </r>
  <r>
    <x v="1"/>
    <n v="11180"/>
  </r>
  <r>
    <x v="2"/>
    <n v="12352"/>
  </r>
  <r>
    <x v="3"/>
    <n v="28682"/>
  </r>
  <r>
    <x v="4"/>
    <n v="6845"/>
  </r>
  <r>
    <x v="5"/>
    <n v="13562"/>
  </r>
  <r>
    <x v="6"/>
    <n v="19"/>
  </r>
  <r>
    <x v="7"/>
    <n v="7824"/>
  </r>
  <r>
    <x v="8"/>
    <n v="3783"/>
  </r>
  <r>
    <x v="9"/>
    <n v="2064"/>
  </r>
  <r>
    <x v="10"/>
    <n v="7458"/>
  </r>
  <r>
    <x v="11"/>
    <n v="37206"/>
  </r>
  <r>
    <x v="12"/>
    <n v="17163"/>
  </r>
  <r>
    <x v="13"/>
    <n v="99"/>
  </r>
  <r>
    <x v="14"/>
    <n v="14753"/>
  </r>
  <r>
    <x v="15"/>
    <n v="12"/>
  </r>
  <r>
    <x v="16"/>
    <n v="686"/>
  </r>
  <r>
    <x v="17"/>
    <n v="7685"/>
  </r>
  <r>
    <x v="18"/>
    <n v="14151"/>
  </r>
  <r>
    <x v="19"/>
    <n v="2406"/>
  </r>
  <r>
    <x v="20"/>
    <n v="4948"/>
  </r>
  <r>
    <x v="21"/>
    <n v="56"/>
  </r>
  <r>
    <x v="22"/>
    <n v="787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3">
  <r>
    <x v="0"/>
    <n v="16139"/>
  </r>
  <r>
    <x v="1"/>
    <n v="28682"/>
  </r>
  <r>
    <x v="2"/>
    <n v="17163"/>
  </r>
  <r>
    <x v="3"/>
    <n v="14753"/>
  </r>
  <r>
    <x v="4"/>
    <n v="14151"/>
  </r>
  <r>
    <x v="5"/>
    <n v="13562"/>
  </r>
  <r>
    <x v="6"/>
    <n v="12352"/>
  </r>
  <r>
    <x v="7"/>
    <n v="11180"/>
  </r>
  <r>
    <x v="8"/>
    <n v="7874"/>
  </r>
  <r>
    <x v="9"/>
    <n v="7824"/>
  </r>
  <r>
    <x v="10"/>
    <n v="7685"/>
  </r>
  <r>
    <x v="11"/>
    <n v="7458"/>
  </r>
  <r>
    <x v="12"/>
    <n v="6845"/>
  </r>
  <r>
    <x v="13"/>
    <n v="4948"/>
  </r>
  <r>
    <x v="14"/>
    <n v="3783"/>
  </r>
  <r>
    <x v="15"/>
    <n v="2406"/>
  </r>
  <r>
    <x v="16"/>
    <n v="2064"/>
  </r>
  <r>
    <x v="17"/>
    <n v="686"/>
  </r>
  <r>
    <x v="18"/>
    <n v="99"/>
  </r>
  <r>
    <x v="19"/>
    <n v="56"/>
  </r>
  <r>
    <x v="20"/>
    <n v="19"/>
  </r>
  <r>
    <x v="21"/>
    <n v="14"/>
  </r>
  <r>
    <x v="22"/>
    <n v="1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6">
  <r>
    <x v="0"/>
    <n v="291839"/>
    <n v="213337"/>
  </r>
  <r>
    <x v="1"/>
    <n v="104543262.51000002"/>
    <n v="86263812.299999997"/>
  </r>
  <r>
    <x v="2"/>
    <n v="158957125.03"/>
    <n v="56540886.979999997"/>
  </r>
  <r>
    <x v="3"/>
    <n v="160759297.09000003"/>
    <n v="237801498.47"/>
  </r>
  <r>
    <x v="4"/>
    <n v="25904049.710000001"/>
    <n v="26481793.91"/>
  </r>
  <r>
    <x v="5"/>
    <n v="83556754.340000004"/>
    <n v="81140379.310000002"/>
  </r>
  <r>
    <x v="6"/>
    <n v="417000"/>
    <n v="151100"/>
  </r>
  <r>
    <x v="7"/>
    <n v="282538507.74000001"/>
    <n v="287779874.83000004"/>
  </r>
  <r>
    <x v="8"/>
    <n v="14848183.16"/>
    <n v="15709280.290000001"/>
  </r>
  <r>
    <x v="9"/>
    <n v="11958698.469999999"/>
    <n v="12262542.77"/>
  </r>
  <r>
    <x v="10"/>
    <n v="75324716.609999999"/>
    <n v="57273383.299999997"/>
  </r>
  <r>
    <x v="11"/>
    <n v="0"/>
    <n v="696939"/>
  </r>
  <r>
    <x v="12"/>
    <n v="91592837.180000007"/>
    <n v="96619023.000000015"/>
  </r>
  <r>
    <x v="13"/>
    <n v="200941444.95999998"/>
    <n v="224690250.30000001"/>
  </r>
  <r>
    <x v="14"/>
    <n v="364377"/>
    <n v="787243.5"/>
  </r>
  <r>
    <x v="15"/>
    <n v="72162353.539999992"/>
    <n v="71672863.909999996"/>
  </r>
  <r>
    <x v="16"/>
    <n v="125000"/>
    <n v="110530"/>
  </r>
  <r>
    <x v="17"/>
    <n v="3198906"/>
    <n v="3251355"/>
  </r>
  <r>
    <x v="18"/>
    <n v="2638"/>
    <n v="0"/>
  </r>
  <r>
    <x v="19"/>
    <n v="117647524.60999998"/>
    <n v="90503795.420000002"/>
  </r>
  <r>
    <x v="20"/>
    <n v="44399813.890000001"/>
    <n v="57433951.340000004"/>
  </r>
  <r>
    <x v="21"/>
    <n v="7779832.6700000009"/>
    <n v="7201802.1900000004"/>
  </r>
  <r>
    <x v="22"/>
    <n v="37617622.759999998"/>
    <n v="33275579.440000001"/>
  </r>
  <r>
    <x v="23"/>
    <n v="14231.73"/>
    <n v="26110.04"/>
  </r>
  <r>
    <x v="24"/>
    <n v="156168258"/>
    <n v="113372857.31999999"/>
  </r>
  <r>
    <x v="25"/>
    <n v="0"/>
    <n v="1600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4">
  <r>
    <x v="0"/>
    <n v="291839"/>
    <n v="213337"/>
  </r>
  <r>
    <x v="1"/>
    <n v="104543262.51000002"/>
    <n v="86263812.299999997"/>
  </r>
  <r>
    <x v="2"/>
    <n v="158957125.03"/>
    <n v="56540886.979999997"/>
  </r>
  <r>
    <x v="3"/>
    <n v="160759297.09"/>
    <n v="237801498.47"/>
  </r>
  <r>
    <x v="4"/>
    <n v="25904049.710000001"/>
    <n v="26481793.91"/>
  </r>
  <r>
    <x v="5"/>
    <n v="83556754.340000004"/>
    <n v="81140379.310000002"/>
  </r>
  <r>
    <x v="6"/>
    <n v="417000"/>
    <n v="151100"/>
  </r>
  <r>
    <x v="7"/>
    <n v="282538507.74000001"/>
    <n v="287779874.83000004"/>
  </r>
  <r>
    <x v="8"/>
    <n v="14848183.16"/>
    <n v="15709280.290000001"/>
  </r>
  <r>
    <x v="9"/>
    <n v="11958698.469999999"/>
    <n v="12262542.77"/>
  </r>
  <r>
    <x v="10"/>
    <n v="75324716.609999999"/>
    <n v="57273383.299999997"/>
  </r>
  <r>
    <x v="11"/>
    <n v="91592837.180000007"/>
    <n v="96619023.000000015"/>
  </r>
  <r>
    <x v="12"/>
    <n v="200941444.95999998"/>
    <n v="224690250.30000001"/>
  </r>
  <r>
    <x v="13"/>
    <n v="364377"/>
    <n v="787243.5"/>
  </r>
  <r>
    <x v="14"/>
    <n v="72162353.539999992"/>
    <n v="71672863.909999996"/>
  </r>
  <r>
    <x v="15"/>
    <n v="125000"/>
    <n v="110530"/>
  </r>
  <r>
    <x v="16"/>
    <n v="3198906"/>
    <n v="3251355"/>
  </r>
  <r>
    <x v="17"/>
    <n v="117647524.60999998"/>
    <n v="90503795.420000002"/>
  </r>
  <r>
    <x v="18"/>
    <n v="44399813.890000001"/>
    <n v="57433951.340000004"/>
  </r>
  <r>
    <x v="19"/>
    <n v="7779832.6700000009"/>
    <n v="7201802.1900000004"/>
  </r>
  <r>
    <x v="20"/>
    <n v="37617622.759999998"/>
    <n v="33275579.440000001"/>
  </r>
  <r>
    <x v="21"/>
    <n v="14231.73"/>
    <n v="26110.04"/>
  </r>
  <r>
    <x v="22"/>
    <n v="156168258"/>
    <n v="113372857.31999999"/>
  </r>
  <r>
    <x v="23"/>
    <n v="0"/>
    <n v="16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4" cacheId="6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Q37:AS62" firstHeaderRow="0" firstDataRow="1" firstDataCol="1"/>
  <pivotFields count="3">
    <pivotField axis="axisRow" showAll="0" sortType="descending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dataField="1" numFmtId="3" showAll="0"/>
    <pivotField dataField="1" numFmtId="3" showAll="0"/>
  </pivotFields>
  <rowFields count="1">
    <field x="0"/>
  </rowFields>
  <rowItems count="25">
    <i>
      <x v="7"/>
    </i>
    <i>
      <x v="3"/>
    </i>
    <i>
      <x v="12"/>
    </i>
    <i>
      <x v="22"/>
    </i>
    <i>
      <x v="11"/>
    </i>
    <i>
      <x v="17"/>
    </i>
    <i>
      <x v="1"/>
    </i>
    <i>
      <x v="5"/>
    </i>
    <i>
      <x v="14"/>
    </i>
    <i>
      <x v="18"/>
    </i>
    <i>
      <x v="10"/>
    </i>
    <i>
      <x v="2"/>
    </i>
    <i>
      <x v="20"/>
    </i>
    <i>
      <x v="4"/>
    </i>
    <i>
      <x v="8"/>
    </i>
    <i>
      <x v="9"/>
    </i>
    <i>
      <x v="19"/>
    </i>
    <i>
      <x v="16"/>
    </i>
    <i>
      <x v="13"/>
    </i>
    <i>
      <x/>
    </i>
    <i>
      <x v="6"/>
    </i>
    <i>
      <x v="15"/>
    </i>
    <i>
      <x v="21"/>
    </i>
    <i>
      <x v="23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2016" fld="1" baseField="0" baseItem="0"/>
    <dataField name="Suma de 2017" fld="2" baseField="0" baseItem="0"/>
  </dataFields>
  <formats count="2">
    <format dxfId="8">
      <pivotArea outline="0" collapsedLevelsAreSubtotals="1" fieldPosition="0"/>
    </format>
    <format dxfId="7">
      <pivotArea type="all" dataOnly="0"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3" cacheId="5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H5:AJ32" firstHeaderRow="0" firstDataRow="1" firstDataCol="1"/>
  <pivotFields count="3">
    <pivotField axis="axisRow" showAll="0" sortType="descending">
      <items count="27">
        <item x="1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9"/>
        <item x="20"/>
        <item x="21"/>
        <item x="22"/>
        <item x="23"/>
        <item x="24"/>
        <item x="25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dataField="1" numFmtId="3" showAll="0"/>
    <pivotField dataField="1" numFmtId="3" showAll="0"/>
  </pivotFields>
  <rowFields count="1">
    <field x="0"/>
  </rowFields>
  <rowItems count="27">
    <i>
      <x v="8"/>
    </i>
    <i>
      <x v="4"/>
    </i>
    <i>
      <x v="14"/>
    </i>
    <i>
      <x v="24"/>
    </i>
    <i>
      <x v="13"/>
    </i>
    <i>
      <x v="19"/>
    </i>
    <i>
      <x v="2"/>
    </i>
    <i>
      <x v="6"/>
    </i>
    <i>
      <x v="16"/>
    </i>
    <i>
      <x v="20"/>
    </i>
    <i>
      <x v="11"/>
    </i>
    <i>
      <x v="3"/>
    </i>
    <i>
      <x v="22"/>
    </i>
    <i>
      <x v="5"/>
    </i>
    <i>
      <x v="9"/>
    </i>
    <i>
      <x v="10"/>
    </i>
    <i>
      <x v="21"/>
    </i>
    <i>
      <x v="18"/>
    </i>
    <i>
      <x v="15"/>
    </i>
    <i>
      <x v="12"/>
    </i>
    <i>
      <x v="1"/>
    </i>
    <i>
      <x v="7"/>
    </i>
    <i>
      <x v="17"/>
    </i>
    <i>
      <x v="23"/>
    </i>
    <i>
      <x v="25"/>
    </i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2016" fld="1" baseField="0" baseItem="0" numFmtId="3"/>
    <dataField name="Suma de 2017" fld="2" baseField="0" baseItem="0" numFmtId="3"/>
  </dataFields>
  <formats count="5">
    <format dxfId="1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9">
      <pivotArea type="all" dataOnly="0"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2" cacheId="4" dataOnRows="1" applyNumberFormats="0" applyBorderFormats="0" applyFontFormats="0" applyPatternFormats="0" applyAlignmentFormats="0" applyWidthHeightFormats="1" dataCaption="Datos" updatedVersion="4" showMemberPropertyTips="0" useAutoFormatting="1" itemPrintTitles="1" createdVersion="1" indent="0" compact="0" compactData="0" gridDropZones="1">
  <location ref="Y35:Z60" firstHeaderRow="2" firstDataRow="2" firstDataCol="1"/>
  <pivotFields count="2">
    <pivotField axis="axisRow" compact="0" outline="0" subtotalTop="0" showAll="0" includeNewItemsInFilter="1" sortType="descending">
      <items count="24">
        <item x="21"/>
        <item x="7"/>
        <item x="6"/>
        <item x="1"/>
        <item x="12"/>
        <item x="5"/>
        <item x="20"/>
        <item x="9"/>
        <item x="14"/>
        <item x="16"/>
        <item x="11"/>
        <item x="0"/>
        <item x="2"/>
        <item x="18"/>
        <item x="3"/>
        <item x="22"/>
        <item x="17"/>
        <item x="10"/>
        <item x="4"/>
        <item x="15"/>
        <item x="13"/>
        <item x="19"/>
        <item x="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numFmtId="3" outline="0" subtotalTop="0" showAll="0" includeNewItemsInFilter="1"/>
  </pivotFields>
  <rowFields count="1">
    <field x="0"/>
  </rowFields>
  <rowItems count="24">
    <i>
      <x v="3"/>
    </i>
    <i>
      <x v="12"/>
    </i>
    <i>
      <x v="11"/>
    </i>
    <i>
      <x v="14"/>
    </i>
    <i>
      <x v="18"/>
    </i>
    <i>
      <x v="5"/>
    </i>
    <i>
      <x v="2"/>
    </i>
    <i>
      <x v="1"/>
    </i>
    <i>
      <x v="22"/>
    </i>
    <i>
      <x v="7"/>
    </i>
    <i>
      <x v="17"/>
    </i>
    <i>
      <x v="10"/>
    </i>
    <i>
      <x v="4"/>
    </i>
    <i>
      <x v="20"/>
    </i>
    <i>
      <x v="8"/>
    </i>
    <i>
      <x v="19"/>
    </i>
    <i>
      <x v="9"/>
    </i>
    <i>
      <x v="16"/>
    </i>
    <i>
      <x v="13"/>
    </i>
    <i>
      <x v="21"/>
    </i>
    <i>
      <x v="6"/>
    </i>
    <i>
      <x/>
    </i>
    <i>
      <x v="15"/>
    </i>
    <i t="grand">
      <x/>
    </i>
  </rowItems>
  <colItems count="1">
    <i/>
  </colItems>
  <dataFields count="1">
    <dataField name="Suma de 2017-05" fld="1" baseField="0" baseItem="0" numFmtId="3"/>
  </dataFields>
  <formats count="3">
    <format dxfId="2">
      <pivotArea outline="0" fieldPosition="0"/>
    </format>
    <format dxfId="1">
      <pivotArea type="topRight" dataOnly="0" labelOnly="1" outline="0" fieldPosition="0"/>
    </format>
    <format dxfId="0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a dinámica1" cacheId="3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S35:T59" firstHeaderRow="1" firstDataRow="1" firstDataCol="1"/>
  <pivotFields count="2">
    <pivotField axis="axisRow" showAll="0" sortType="descending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182" showAll="0"/>
  </pivotFields>
  <rowFields count="1">
    <field x="0"/>
  </rowFields>
  <rowItems count="24">
    <i>
      <x v="11"/>
    </i>
    <i>
      <x v="3"/>
    </i>
    <i>
      <x v="12"/>
    </i>
    <i>
      <x v="14"/>
    </i>
    <i>
      <x v="18"/>
    </i>
    <i>
      <x v="5"/>
    </i>
    <i>
      <x v="2"/>
    </i>
    <i>
      <x v="1"/>
    </i>
    <i>
      <x v="22"/>
    </i>
    <i>
      <x v="7"/>
    </i>
    <i>
      <x v="17"/>
    </i>
    <i>
      <x v="10"/>
    </i>
    <i>
      <x v="4"/>
    </i>
    <i>
      <x v="20"/>
    </i>
    <i>
      <x v="8"/>
    </i>
    <i>
      <x v="19"/>
    </i>
    <i>
      <x v="9"/>
    </i>
    <i>
      <x v="16"/>
    </i>
    <i>
      <x v="13"/>
    </i>
    <i>
      <x v="21"/>
    </i>
    <i>
      <x v="6"/>
    </i>
    <i>
      <x/>
    </i>
    <i>
      <x v="15"/>
    </i>
    <i t="grand">
      <x/>
    </i>
  </rowItems>
  <colItems count="1">
    <i/>
  </colItems>
  <dataFields count="1">
    <dataField name="Suma de 2017-05" fld="1" baseField="0" baseItem="0" numFmtId="3"/>
  </dataFields>
  <formats count="4">
    <format dxfId="6">
      <pivotArea outline="0" collapsedLevelsAreSubtotals="1" fieldPosition="0"/>
    </format>
    <format dxfId="5">
      <pivotArea dataOnly="0" labelOnly="1" outline="0" axis="axisValues" fieldPosition="0"/>
    </format>
    <format dxfId="4">
      <pivotArea type="all" dataOnly="0" outline="0" collapsedLevelsAreSubtotals="1" fieldPosition="0"/>
    </format>
    <format dxfId="3">
      <pivotArea type="all" dataOnly="0"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33"/>
  <sheetViews>
    <sheetView topLeftCell="A19" zoomScale="145" zoomScaleNormal="145" workbookViewId="0">
      <pane xSplit="1" topLeftCell="B1" activePane="topRight" state="frozen"/>
      <selection activeCell="B29" sqref="B29"/>
      <selection pane="topRight"/>
    </sheetView>
  </sheetViews>
  <sheetFormatPr baseColWidth="10" defaultColWidth="11.5703125" defaultRowHeight="12"/>
  <cols>
    <col min="1" max="1" width="11.5703125" style="3"/>
    <col min="2" max="2" width="17.28515625" style="4" customWidth="1"/>
    <col min="3" max="9" width="17.28515625" style="7" customWidth="1"/>
    <col min="10" max="16384" width="11.5703125" style="3"/>
  </cols>
  <sheetData>
    <row r="1" spans="1:9">
      <c r="A1" s="463" t="s">
        <v>694</v>
      </c>
      <c r="B1" s="467" t="s">
        <v>695</v>
      </c>
      <c r="C1" s="192">
        <v>2017</v>
      </c>
      <c r="D1" s="464"/>
      <c r="E1" s="464"/>
      <c r="F1" s="464"/>
      <c r="G1" s="464"/>
      <c r="H1" s="464"/>
      <c r="I1" s="464"/>
    </row>
    <row r="2" spans="1:9">
      <c r="A2" s="465"/>
      <c r="B2" s="466"/>
    </row>
    <row r="3" spans="1:9" ht="15">
      <c r="A3" s="1" t="s">
        <v>692</v>
      </c>
    </row>
    <row r="4" spans="1:9" ht="15">
      <c r="A4" s="1" t="s">
        <v>150</v>
      </c>
    </row>
    <row r="5" spans="1:9" ht="15">
      <c r="A5" s="1"/>
    </row>
    <row r="6" spans="1:9">
      <c r="A6" s="192" t="s">
        <v>0</v>
      </c>
      <c r="B6" s="193" t="s">
        <v>1</v>
      </c>
      <c r="C6" s="193" t="s">
        <v>2</v>
      </c>
      <c r="D6" s="193" t="s">
        <v>3</v>
      </c>
      <c r="E6" s="193" t="s">
        <v>295</v>
      </c>
      <c r="F6" s="193" t="s">
        <v>4</v>
      </c>
      <c r="G6" s="193" t="s">
        <v>321</v>
      </c>
      <c r="H6" s="193" t="s">
        <v>5</v>
      </c>
      <c r="I6" s="193" t="s">
        <v>6</v>
      </c>
    </row>
    <row r="7" spans="1:9" s="66" customFormat="1" ht="12.75" thickBot="1">
      <c r="A7" s="64"/>
      <c r="B7" s="65" t="s">
        <v>345</v>
      </c>
      <c r="C7" s="65" t="s">
        <v>345</v>
      </c>
      <c r="D7" s="65" t="s">
        <v>344</v>
      </c>
      <c r="E7" s="65" t="s">
        <v>343</v>
      </c>
      <c r="F7" s="65" t="s">
        <v>342</v>
      </c>
      <c r="G7" s="65" t="s">
        <v>342</v>
      </c>
      <c r="H7" s="65" t="s">
        <v>342</v>
      </c>
      <c r="I7" s="65" t="s">
        <v>342</v>
      </c>
    </row>
    <row r="8" spans="1:9">
      <c r="A8" s="4">
        <v>2004</v>
      </c>
      <c r="B8" s="21">
        <v>0.05</v>
      </c>
      <c r="C8" s="21">
        <v>5.0999999999999997E-2</v>
      </c>
      <c r="D8" s="21">
        <v>3.4799999999999998E-2</v>
      </c>
      <c r="E8" s="316">
        <v>3.41</v>
      </c>
      <c r="F8" s="23">
        <v>12809</v>
      </c>
      <c r="G8" s="23">
        <v>7124</v>
      </c>
      <c r="H8" s="23">
        <v>9805</v>
      </c>
      <c r="I8" s="23">
        <f>F8-H8</f>
        <v>3004</v>
      </c>
    </row>
    <row r="9" spans="1:9">
      <c r="A9" s="4">
        <v>2005</v>
      </c>
      <c r="B9" s="21">
        <v>6.285208165967561E-2</v>
      </c>
      <c r="C9" s="21">
        <v>6.5391821324574551E-2</v>
      </c>
      <c r="D9" s="21">
        <v>1.49E-2</v>
      </c>
      <c r="E9" s="316">
        <v>3.3</v>
      </c>
      <c r="F9" s="23">
        <v>17368</v>
      </c>
      <c r="G9" s="23">
        <v>9790</v>
      </c>
      <c r="H9" s="23">
        <v>12082</v>
      </c>
      <c r="I9" s="101">
        <f t="shared" ref="I9:I10" si="0">F9-H9</f>
        <v>5286</v>
      </c>
    </row>
    <row r="10" spans="1:9">
      <c r="A10" s="4">
        <v>2006</v>
      </c>
      <c r="B10" s="6">
        <v>7.5287768916579692E-2</v>
      </c>
      <c r="C10" s="6">
        <v>9.2492579012308333E-3</v>
      </c>
      <c r="D10" s="6">
        <v>1.14E-2</v>
      </c>
      <c r="E10" s="316">
        <v>3.27</v>
      </c>
      <c r="F10" s="8">
        <v>23830</v>
      </c>
      <c r="G10" s="8">
        <v>14735</v>
      </c>
      <c r="H10" s="8">
        <v>14844</v>
      </c>
      <c r="I10" s="101">
        <f t="shared" si="0"/>
        <v>8986</v>
      </c>
    </row>
    <row r="11" spans="1:9">
      <c r="A11" s="4">
        <v>2007</v>
      </c>
      <c r="B11" s="6">
        <v>8.5184497525102362E-2</v>
      </c>
      <c r="C11" s="6">
        <v>3.7566658866790871E-2</v>
      </c>
      <c r="D11" s="6">
        <v>1.7787100404310932E-2</v>
      </c>
      <c r="E11" s="316">
        <v>3.128333699969621</v>
      </c>
      <c r="F11" s="8">
        <v>28094.019126088009</v>
      </c>
      <c r="G11" s="8">
        <v>18730.272446936651</v>
      </c>
      <c r="H11" s="8">
        <v>19590.521779000002</v>
      </c>
      <c r="I11" s="101">
        <v>8503.4973470880068</v>
      </c>
    </row>
    <row r="12" spans="1:9">
      <c r="A12" s="4">
        <v>2008</v>
      </c>
      <c r="B12" s="6">
        <v>9.1431481975249085E-2</v>
      </c>
      <c r="C12" s="6">
        <v>7.1487132744776999E-2</v>
      </c>
      <c r="D12" s="6">
        <v>5.7878827399999999E-2</v>
      </c>
      <c r="E12" s="316">
        <v>2.9247264298901503</v>
      </c>
      <c r="F12" s="8">
        <v>31018.479629195266</v>
      </c>
      <c r="G12" s="8">
        <v>19513.421048299402</v>
      </c>
      <c r="H12" s="8">
        <v>28449.181869000004</v>
      </c>
      <c r="I12" s="101">
        <v>2569.2977601952657</v>
      </c>
    </row>
    <row r="13" spans="1:9">
      <c r="A13" s="4">
        <v>2009</v>
      </c>
      <c r="B13" s="6">
        <v>1.0492323817545781E-2</v>
      </c>
      <c r="C13" s="6">
        <v>-2.115092483666544E-2</v>
      </c>
      <c r="D13" s="6">
        <v>2.9353462399999999E-2</v>
      </c>
      <c r="E13" s="316">
        <v>3.0115883398838004</v>
      </c>
      <c r="F13" s="8">
        <v>27070.51963887288</v>
      </c>
      <c r="G13" s="8">
        <v>17569.690328277931</v>
      </c>
      <c r="H13" s="8">
        <v>21010.687576</v>
      </c>
      <c r="I13" s="101">
        <v>6059.8320628728743</v>
      </c>
    </row>
    <row r="14" spans="1:9">
      <c r="A14" s="4">
        <v>2010</v>
      </c>
      <c r="B14" s="6">
        <v>8.4507468752585455E-2</v>
      </c>
      <c r="C14" s="6">
        <v>-2.7200264214781101E-2</v>
      </c>
      <c r="D14" s="6">
        <v>1.5295290833333723E-2</v>
      </c>
      <c r="E14" s="316">
        <v>2.8250957505877676</v>
      </c>
      <c r="F14" s="8">
        <v>35803.08081459505</v>
      </c>
      <c r="G14" s="8">
        <v>23496.859365768923</v>
      </c>
      <c r="H14" s="8">
        <v>28815.319466000004</v>
      </c>
      <c r="I14" s="101">
        <v>6987.7613485950487</v>
      </c>
    </row>
    <row r="15" spans="1:9">
      <c r="A15" s="4">
        <v>2011</v>
      </c>
      <c r="B15" s="6">
        <v>6.4522160023376351E-2</v>
      </c>
      <c r="C15" s="6">
        <v>-2.1193681963797388E-2</v>
      </c>
      <c r="D15" s="6">
        <v>3.3696654863748704E-2</v>
      </c>
      <c r="E15" s="316">
        <v>2.7540112112709312</v>
      </c>
      <c r="F15" s="8">
        <v>46375.961566173544</v>
      </c>
      <c r="G15" s="8">
        <v>29623.141834212729</v>
      </c>
      <c r="H15" s="8">
        <v>37151.5216</v>
      </c>
      <c r="I15" s="101">
        <v>9224.4399661735497</v>
      </c>
    </row>
    <row r="16" spans="1:9">
      <c r="A16" s="4">
        <v>2012</v>
      </c>
      <c r="B16" s="6">
        <v>5.9503463404493286E-2</v>
      </c>
      <c r="C16" s="6">
        <v>2.5103842207752792E-2</v>
      </c>
      <c r="D16" s="6">
        <v>3.6554139094222504E-2</v>
      </c>
      <c r="E16" s="316">
        <v>2.6375267297979796</v>
      </c>
      <c r="F16" s="8">
        <v>47410.606678139025</v>
      </c>
      <c r="G16" s="8">
        <v>30035.325186776645</v>
      </c>
      <c r="H16" s="8">
        <v>41017.937140000002</v>
      </c>
      <c r="I16" s="101">
        <v>6392.6695381390182</v>
      </c>
    </row>
    <row r="17" spans="1:9">
      <c r="A17" s="4">
        <v>2013</v>
      </c>
      <c r="B17" s="6">
        <v>5.8540570722561969E-2</v>
      </c>
      <c r="C17" s="6">
        <v>4.2606338594699762E-2</v>
      </c>
      <c r="D17" s="6">
        <v>2.8058274546629177E-2</v>
      </c>
      <c r="E17" s="316">
        <v>2.7023295295055818</v>
      </c>
      <c r="F17" s="8">
        <v>42860.636578772843</v>
      </c>
      <c r="G17" s="101">
        <v>26375.954516193058</v>
      </c>
      <c r="H17" s="101">
        <v>42356.184714999996</v>
      </c>
      <c r="I17" s="101">
        <v>504.45186377285063</v>
      </c>
    </row>
    <row r="18" spans="1:9">
      <c r="A18" s="232">
        <v>2014</v>
      </c>
      <c r="B18" s="241">
        <v>2.3906678024908815E-2</v>
      </c>
      <c r="C18" s="241">
        <v>-2.2333599723621519E-2</v>
      </c>
      <c r="D18" s="241">
        <v>3.2459610352057099E-2</v>
      </c>
      <c r="E18" s="317">
        <v>2.8387441197691197</v>
      </c>
      <c r="F18" s="101">
        <v>39532.68289863666</v>
      </c>
      <c r="G18" s="101">
        <v>22938.843128408011</v>
      </c>
      <c r="H18" s="101">
        <v>41042.150549999991</v>
      </c>
      <c r="I18" s="101">
        <v>-1509.4676513633376</v>
      </c>
    </row>
    <row r="19" spans="1:9" s="242" customFormat="1">
      <c r="A19" s="232">
        <v>2015</v>
      </c>
      <c r="B19" s="241">
        <v>3.3242006341480279E-2</v>
      </c>
      <c r="C19" s="241">
        <v>0.15658743860788774</v>
      </c>
      <c r="D19" s="241">
        <v>3.5478487642527201E-2</v>
      </c>
      <c r="E19" s="317">
        <v>3.1853143181818182</v>
      </c>
      <c r="F19" s="101">
        <v>34235.663917661659</v>
      </c>
      <c r="G19" s="101">
        <v>21139.489453859722</v>
      </c>
      <c r="H19" s="101">
        <v>37385.181727000003</v>
      </c>
      <c r="I19" s="101">
        <v>-3149.5178093383411</v>
      </c>
    </row>
    <row r="20" spans="1:9" s="242" customFormat="1">
      <c r="A20" s="99">
        <v>2016</v>
      </c>
      <c r="B20" s="100">
        <v>3.8965679567061928E-2</v>
      </c>
      <c r="C20" s="100">
        <v>0.21202315488549117</v>
      </c>
      <c r="D20" s="100">
        <v>3.5930838949935977E-2</v>
      </c>
      <c r="E20" s="318">
        <v>3.375425825928458</v>
      </c>
      <c r="F20" s="98">
        <v>36837.510465790197</v>
      </c>
      <c r="G20" s="98">
        <v>23817.481716532107</v>
      </c>
      <c r="H20" s="98">
        <v>35107.313703</v>
      </c>
      <c r="I20" s="98">
        <v>1730.1967627902036</v>
      </c>
    </row>
    <row r="21" spans="1:9">
      <c r="A21" s="99">
        <v>2017</v>
      </c>
      <c r="B21" s="100"/>
      <c r="C21" s="221"/>
      <c r="D21" s="100"/>
      <c r="E21" s="222"/>
      <c r="F21" s="98"/>
      <c r="G21" s="98"/>
      <c r="H21" s="98"/>
      <c r="I21" s="98"/>
    </row>
    <row r="22" spans="1:9">
      <c r="A22" s="102" t="s">
        <v>214</v>
      </c>
      <c r="B22" s="326">
        <v>4.9299999999999927E-2</v>
      </c>
      <c r="C22" s="326">
        <v>0.13929999999999992</v>
      </c>
      <c r="D22" s="21">
        <v>3.0963641592395702E-2</v>
      </c>
      <c r="E22" s="328">
        <v>3.3400000000000007</v>
      </c>
      <c r="F22" s="327">
        <v>3319.7314942135426</v>
      </c>
      <c r="G22" s="321">
        <v>1811.3008221384296</v>
      </c>
      <c r="H22" s="321">
        <v>2966.5207509999996</v>
      </c>
      <c r="I22" s="321">
        <f>F22-H22</f>
        <v>353.21074321354308</v>
      </c>
    </row>
    <row r="23" spans="1:9">
      <c r="A23" s="102" t="s">
        <v>391</v>
      </c>
      <c r="B23" s="21">
        <v>7.200000000000273E-3</v>
      </c>
      <c r="C23" s="21">
        <v>1.4658298635525001E-2</v>
      </c>
      <c r="D23" s="300">
        <v>3.2497932455964926E-2</v>
      </c>
      <c r="E23" s="329">
        <v>3.2598249999999998</v>
      </c>
      <c r="F23" s="23">
        <v>3574.3204230331376</v>
      </c>
      <c r="G23" s="8">
        <v>2198.4660768932595</v>
      </c>
      <c r="H23" s="8">
        <v>2842.2202240000001</v>
      </c>
      <c r="I23" s="101">
        <f>F23-H23</f>
        <v>732.10019903313741</v>
      </c>
    </row>
    <row r="24" spans="1:9">
      <c r="A24" s="102" t="s">
        <v>396</v>
      </c>
      <c r="B24" s="21">
        <v>7.1000000000003638E-3</v>
      </c>
      <c r="C24" s="21">
        <v>-2.700000000000017E-2</v>
      </c>
      <c r="D24" s="300">
        <v>3.9748544514700938E-2</v>
      </c>
      <c r="E24" s="329">
        <v>3.2637391304347823</v>
      </c>
      <c r="F24" s="23">
        <v>3295.9236409667478</v>
      </c>
      <c r="G24" s="8">
        <v>1988.6005801828544</v>
      </c>
      <c r="H24" s="8">
        <v>3184.3173140000004</v>
      </c>
      <c r="I24" s="101">
        <f>F24-H24</f>
        <v>111.60632696674747</v>
      </c>
    </row>
    <row r="25" spans="1:9">
      <c r="A25" s="102" t="s">
        <v>265</v>
      </c>
      <c r="B25" s="21">
        <v>1.7007110107023493E-3</v>
      </c>
      <c r="C25" s="21">
        <v>1.8699999998997185E-2</v>
      </c>
      <c r="D25" s="300">
        <v>3.6947157214179356E-2</v>
      </c>
      <c r="E25" s="329">
        <v>3.2473611111111111</v>
      </c>
      <c r="F25" s="23">
        <v>3043.5546817194459</v>
      </c>
      <c r="G25" s="8">
        <v>1853.2424698603247</v>
      </c>
      <c r="H25" s="8">
        <v>2977.6737630000002</v>
      </c>
      <c r="I25" s="101">
        <f>F25-H25</f>
        <v>65.880918719445617</v>
      </c>
    </row>
    <row r="26" spans="1:9">
      <c r="A26" s="102" t="s">
        <v>266</v>
      </c>
      <c r="B26" s="561" t="s">
        <v>693</v>
      </c>
      <c r="C26" s="561"/>
      <c r="D26" s="300">
        <v>3.0398025360419467E-2</v>
      </c>
      <c r="E26" s="329">
        <v>3.272863636363637</v>
      </c>
      <c r="F26" s="561" t="s">
        <v>770</v>
      </c>
      <c r="G26" s="561"/>
      <c r="H26" s="561"/>
      <c r="I26" s="561"/>
    </row>
    <row r="27" spans="1:9">
      <c r="A27" s="102"/>
      <c r="B27" s="6"/>
      <c r="C27" s="6"/>
      <c r="D27" s="6"/>
      <c r="E27" s="22"/>
      <c r="I27" s="8"/>
    </row>
    <row r="28" spans="1:9">
      <c r="A28" s="5" t="s">
        <v>346</v>
      </c>
      <c r="B28" s="5"/>
      <c r="C28" s="9"/>
      <c r="D28" s="9"/>
      <c r="E28" s="9"/>
      <c r="F28" s="9"/>
      <c r="G28" s="9"/>
      <c r="H28" s="9"/>
      <c r="I28" s="9"/>
    </row>
    <row r="29" spans="1:9" s="52" customFormat="1">
      <c r="A29" s="50" t="s">
        <v>331</v>
      </c>
      <c r="B29" s="50"/>
      <c r="C29" s="56"/>
      <c r="D29" s="56"/>
      <c r="E29" s="56"/>
      <c r="F29" s="332"/>
      <c r="G29" s="56"/>
      <c r="H29" s="56"/>
      <c r="I29" s="56"/>
    </row>
    <row r="30" spans="1:9">
      <c r="A30" s="50" t="s">
        <v>341</v>
      </c>
      <c r="D30" s="203"/>
      <c r="F30" s="273"/>
    </row>
    <row r="31" spans="1:9">
      <c r="F31" s="273"/>
    </row>
    <row r="32" spans="1:9">
      <c r="F32" s="273"/>
    </row>
    <row r="33" spans="4:6">
      <c r="D33" s="21"/>
      <c r="F33" s="273"/>
    </row>
  </sheetData>
  <mergeCells count="2">
    <mergeCell ref="B26:C26"/>
    <mergeCell ref="F26:I26"/>
  </mergeCells>
  <pageMargins left="0.7" right="0.7" top="0.75" bottom="0.75" header="0.3" footer="0.3"/>
  <pageSetup paperSize="9" scale="8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0"/>
  </sheetPr>
  <dimension ref="A1:K55"/>
  <sheetViews>
    <sheetView zoomScaleNormal="100" workbookViewId="0">
      <selection activeCell="K34" sqref="K34"/>
    </sheetView>
  </sheetViews>
  <sheetFormatPr baseColWidth="10" defaultColWidth="11.5703125" defaultRowHeight="12"/>
  <cols>
    <col min="1" max="1" width="18.42578125" style="10" customWidth="1"/>
    <col min="2" max="5" width="15.42578125" style="18" customWidth="1"/>
    <col min="6" max="9" width="15.42578125" style="12" customWidth="1"/>
    <col min="10" max="10" width="18.28515625" style="10" customWidth="1"/>
    <col min="11" max="11" width="16.85546875" style="10" customWidth="1"/>
    <col min="12" max="16384" width="11.5703125" style="10"/>
  </cols>
  <sheetData>
    <row r="1" spans="1:11" ht="15">
      <c r="A1" s="34" t="s">
        <v>232</v>
      </c>
    </row>
    <row r="2" spans="1:11" ht="15">
      <c r="A2" s="34" t="s">
        <v>122</v>
      </c>
    </row>
    <row r="3" spans="1:11">
      <c r="A3" s="33" t="s">
        <v>86</v>
      </c>
      <c r="G3" s="28"/>
      <c r="H3" s="28"/>
    </row>
    <row r="4" spans="1:11">
      <c r="E4" s="12"/>
    </row>
    <row r="5" spans="1:11">
      <c r="A5" s="186" t="s">
        <v>233</v>
      </c>
      <c r="B5" s="187">
        <v>2008</v>
      </c>
      <c r="C5" s="187">
        <v>2009</v>
      </c>
      <c r="D5" s="187">
        <v>2010</v>
      </c>
      <c r="E5" s="187">
        <v>2011</v>
      </c>
      <c r="F5" s="187">
        <v>2012</v>
      </c>
      <c r="G5" s="187">
        <v>2013</v>
      </c>
      <c r="H5" s="187">
        <v>2014</v>
      </c>
      <c r="I5" s="187">
        <v>2015</v>
      </c>
      <c r="J5" s="187">
        <v>2016</v>
      </c>
      <c r="K5" s="187">
        <v>2017</v>
      </c>
    </row>
    <row r="6" spans="1:11">
      <c r="A6" s="33" t="s">
        <v>87</v>
      </c>
      <c r="B6" s="36">
        <v>17933.04</v>
      </c>
      <c r="C6" s="36">
        <v>74217.87</v>
      </c>
      <c r="D6" s="36">
        <v>111199.59</v>
      </c>
      <c r="E6" s="36">
        <v>126051.05</v>
      </c>
      <c r="F6" s="36">
        <v>92.62</v>
      </c>
      <c r="G6" s="36">
        <v>12.48</v>
      </c>
      <c r="H6" s="36">
        <v>7.12</v>
      </c>
      <c r="I6" s="36">
        <v>89.12</v>
      </c>
      <c r="J6" s="36">
        <v>14.989999999999998</v>
      </c>
      <c r="K6" s="272">
        <v>0</v>
      </c>
    </row>
    <row r="7" spans="1:11">
      <c r="A7" s="33" t="s">
        <v>88</v>
      </c>
      <c r="B7" s="36">
        <v>1319496305.51</v>
      </c>
      <c r="C7" s="36">
        <v>855475615.14999998</v>
      </c>
      <c r="D7" s="36">
        <v>782241866.36999989</v>
      </c>
      <c r="E7" s="36">
        <v>756045883.97000003</v>
      </c>
      <c r="F7" s="36">
        <v>1003300317.11</v>
      </c>
      <c r="G7" s="36">
        <v>1003366246.96</v>
      </c>
      <c r="H7" s="36">
        <v>731629442.54999995</v>
      </c>
      <c r="I7" s="36">
        <v>415256250.88999999</v>
      </c>
      <c r="J7" s="36">
        <v>313663812.89999998</v>
      </c>
      <c r="K7" s="272">
        <v>0</v>
      </c>
    </row>
    <row r="8" spans="1:11">
      <c r="A8" s="33" t="s">
        <v>89</v>
      </c>
      <c r="B8" s="36">
        <v>22544897.590000004</v>
      </c>
      <c r="C8" s="36">
        <v>12005878.120000001</v>
      </c>
      <c r="D8" s="36">
        <v>744744.65999999992</v>
      </c>
      <c r="E8" s="36">
        <v>2003181.67</v>
      </c>
      <c r="F8" s="36">
        <v>7035996.9500000002</v>
      </c>
      <c r="G8" s="36">
        <v>11641850.82</v>
      </c>
      <c r="H8" s="36">
        <v>2259338.4299999997</v>
      </c>
      <c r="I8" s="36">
        <v>659.47</v>
      </c>
      <c r="J8" s="36">
        <v>3207066.32</v>
      </c>
      <c r="K8" s="272">
        <v>0</v>
      </c>
    </row>
    <row r="9" spans="1:11">
      <c r="A9" s="33" t="s">
        <v>90</v>
      </c>
      <c r="B9" s="36">
        <v>457527413.31</v>
      </c>
      <c r="C9" s="36">
        <v>530845865.07999998</v>
      </c>
      <c r="D9" s="36">
        <v>347511926.96000004</v>
      </c>
      <c r="E9" s="36">
        <v>662649336.91999996</v>
      </c>
      <c r="F9" s="36">
        <v>781587277</v>
      </c>
      <c r="G9" s="36">
        <v>445771506.77000004</v>
      </c>
      <c r="H9" s="36">
        <v>383204568.28999996</v>
      </c>
      <c r="I9" s="36">
        <v>356823875.94999999</v>
      </c>
      <c r="J9" s="36">
        <v>21985207.27</v>
      </c>
      <c r="K9" s="272">
        <v>0</v>
      </c>
    </row>
    <row r="10" spans="1:11">
      <c r="A10" s="33" t="s">
        <v>91</v>
      </c>
      <c r="B10" s="36">
        <v>41206251.899999999</v>
      </c>
      <c r="C10" s="36">
        <v>9502869.9600000009</v>
      </c>
      <c r="D10" s="36">
        <v>34324031.140000001</v>
      </c>
      <c r="E10" s="36">
        <v>57453332.809999995</v>
      </c>
      <c r="F10" s="36">
        <v>83545774.930000007</v>
      </c>
      <c r="G10" s="36">
        <v>16803539.789999999</v>
      </c>
      <c r="H10" s="36">
        <v>3308871.21</v>
      </c>
      <c r="I10" s="36">
        <v>9649463.5899999999</v>
      </c>
      <c r="J10" s="36">
        <v>15023096.52</v>
      </c>
      <c r="K10" s="272">
        <v>0</v>
      </c>
    </row>
    <row r="11" spans="1:11">
      <c r="A11" s="33" t="s">
        <v>92</v>
      </c>
      <c r="B11" s="36">
        <v>183348632.80000001</v>
      </c>
      <c r="C11" s="36">
        <v>228105055.57999998</v>
      </c>
      <c r="D11" s="36">
        <v>411689577.15999997</v>
      </c>
      <c r="E11" s="36">
        <v>417671620.28999996</v>
      </c>
      <c r="F11" s="36">
        <v>538824016.48000002</v>
      </c>
      <c r="G11" s="36">
        <v>528459118.89999998</v>
      </c>
      <c r="H11" s="36">
        <v>351470803.22000003</v>
      </c>
      <c r="I11" s="36">
        <v>209812694.41999999</v>
      </c>
      <c r="J11" s="36">
        <v>216889851.09999999</v>
      </c>
      <c r="K11" s="272">
        <v>0</v>
      </c>
    </row>
    <row r="12" spans="1:11">
      <c r="A12" s="33" t="s">
        <v>93</v>
      </c>
      <c r="B12" s="36">
        <v>1886.72</v>
      </c>
      <c r="C12" s="36">
        <v>31.240000000000002</v>
      </c>
      <c r="D12" s="36">
        <v>13.91</v>
      </c>
      <c r="E12" s="36">
        <v>54.879999999999995</v>
      </c>
      <c r="F12" s="36">
        <v>1111.96</v>
      </c>
      <c r="G12" s="36">
        <v>477.55</v>
      </c>
      <c r="H12" s="36">
        <v>2637.24</v>
      </c>
      <c r="I12" s="36">
        <v>15468.939999999999</v>
      </c>
      <c r="J12" s="36">
        <v>5134.92</v>
      </c>
      <c r="K12" s="272">
        <v>0</v>
      </c>
    </row>
    <row r="13" spans="1:11">
      <c r="A13" s="33" t="s">
        <v>94</v>
      </c>
      <c r="B13" s="36">
        <v>242406460.46000001</v>
      </c>
      <c r="C13" s="36">
        <v>135273907.24000001</v>
      </c>
      <c r="D13" s="36">
        <v>103638879.95</v>
      </c>
      <c r="E13" s="36">
        <v>170082899.13</v>
      </c>
      <c r="F13" s="36">
        <v>357199502.73000002</v>
      </c>
      <c r="G13" s="36">
        <v>34983511.259999998</v>
      </c>
      <c r="H13" s="36">
        <v>100854933.39999999</v>
      </c>
      <c r="I13" s="36">
        <v>137066946.16</v>
      </c>
      <c r="J13" s="36">
        <v>49043314.479999997</v>
      </c>
      <c r="K13" s="272">
        <v>0</v>
      </c>
    </row>
    <row r="14" spans="1:11">
      <c r="A14" s="33" t="s">
        <v>95</v>
      </c>
      <c r="B14" s="36">
        <v>48079583.93</v>
      </c>
      <c r="C14" s="36">
        <v>16853688.530000001</v>
      </c>
      <c r="D14" s="36">
        <v>5812310.2400000002</v>
      </c>
      <c r="E14" s="36">
        <v>8536206.0899999999</v>
      </c>
      <c r="F14" s="36">
        <v>18430940.420000002</v>
      </c>
      <c r="G14" s="36">
        <v>9866148.8900000006</v>
      </c>
      <c r="H14" s="36">
        <v>3403180.4899999998</v>
      </c>
      <c r="I14" s="36">
        <v>1919372.6</v>
      </c>
      <c r="J14" s="36">
        <v>95516.83</v>
      </c>
      <c r="K14" s="272">
        <v>0</v>
      </c>
    </row>
    <row r="15" spans="1:11">
      <c r="A15" s="33" t="s">
        <v>96</v>
      </c>
      <c r="B15" s="36">
        <v>7728576.9900000002</v>
      </c>
      <c r="C15" s="36">
        <v>2682871.1500000004</v>
      </c>
      <c r="D15" s="36">
        <v>1649753.88</v>
      </c>
      <c r="E15" s="36">
        <v>4322956.87</v>
      </c>
      <c r="F15" s="36">
        <v>4139210.03</v>
      </c>
      <c r="G15" s="36">
        <v>1098254.94</v>
      </c>
      <c r="H15" s="36">
        <v>125513.64</v>
      </c>
      <c r="I15" s="36">
        <v>805950.03</v>
      </c>
      <c r="J15" s="36">
        <v>22759.97</v>
      </c>
      <c r="K15" s="272">
        <v>0</v>
      </c>
    </row>
    <row r="16" spans="1:11">
      <c r="A16" s="33" t="s">
        <v>97</v>
      </c>
      <c r="B16" s="36">
        <v>68652141.739999995</v>
      </c>
      <c r="C16" s="36">
        <v>110479558.08</v>
      </c>
      <c r="D16" s="36">
        <v>67342320.370000005</v>
      </c>
      <c r="E16" s="36">
        <v>201987826.62</v>
      </c>
      <c r="F16" s="36">
        <v>347064086</v>
      </c>
      <c r="G16" s="36">
        <v>185986109.46000001</v>
      </c>
      <c r="H16" s="36">
        <v>234651200.10999998</v>
      </c>
      <c r="I16" s="36">
        <v>126136074.55</v>
      </c>
      <c r="J16" s="36">
        <v>56638874.040000007</v>
      </c>
      <c r="K16" s="272">
        <v>0</v>
      </c>
    </row>
    <row r="17" spans="1:11">
      <c r="A17" s="33" t="s">
        <v>98</v>
      </c>
      <c r="B17" s="36">
        <v>123229875.47</v>
      </c>
      <c r="C17" s="36">
        <v>38907551.469999999</v>
      </c>
      <c r="D17" s="36">
        <v>63002507.140000001</v>
      </c>
      <c r="E17" s="36">
        <v>78663596.210000008</v>
      </c>
      <c r="F17" s="36">
        <v>108067124.84</v>
      </c>
      <c r="G17" s="36">
        <v>63627363.269999996</v>
      </c>
      <c r="H17" s="36">
        <v>32192362.059999999</v>
      </c>
      <c r="I17" s="36">
        <v>15536481.15</v>
      </c>
      <c r="J17" s="36">
        <v>25434253.299999997</v>
      </c>
      <c r="K17" s="272">
        <v>0</v>
      </c>
    </row>
    <row r="18" spans="1:11">
      <c r="A18" s="33" t="s">
        <v>99</v>
      </c>
      <c r="B18" s="36">
        <v>264799247.04000002</v>
      </c>
      <c r="C18" s="36">
        <v>372054757.60000002</v>
      </c>
      <c r="D18" s="36">
        <v>422325535.78999996</v>
      </c>
      <c r="E18" s="36">
        <v>459340507.74000001</v>
      </c>
      <c r="F18" s="36">
        <v>547675206.03999996</v>
      </c>
      <c r="G18" s="36">
        <v>545255309.13999999</v>
      </c>
      <c r="H18" s="36">
        <v>358192493.45999998</v>
      </c>
      <c r="I18" s="36">
        <v>288802646.45999998</v>
      </c>
      <c r="J18" s="36">
        <v>253360992.87</v>
      </c>
      <c r="K18" s="272">
        <v>0</v>
      </c>
    </row>
    <row r="19" spans="1:11">
      <c r="A19" s="33" t="s">
        <v>100</v>
      </c>
      <c r="B19" s="36">
        <v>0</v>
      </c>
      <c r="C19" s="36">
        <v>274095.75</v>
      </c>
      <c r="D19" s="36">
        <v>115757.74</v>
      </c>
      <c r="E19" s="36">
        <v>501828.61</v>
      </c>
      <c r="F19" s="36">
        <v>444450.51</v>
      </c>
      <c r="G19" s="36">
        <v>95383.06</v>
      </c>
      <c r="H19" s="36">
        <v>1078.8699999999999</v>
      </c>
      <c r="I19" s="36">
        <v>1429.08</v>
      </c>
      <c r="J19" s="36">
        <v>4315.1399999999994</v>
      </c>
      <c r="K19" s="272">
        <v>0</v>
      </c>
    </row>
    <row r="20" spans="1:11">
      <c r="A20" s="33" t="s">
        <v>101</v>
      </c>
      <c r="B20" s="36">
        <v>183366498.43000001</v>
      </c>
      <c r="C20" s="36">
        <v>68279154.75</v>
      </c>
      <c r="D20" s="36">
        <v>72488136.25</v>
      </c>
      <c r="E20" s="36">
        <v>105630074.91999999</v>
      </c>
      <c r="F20" s="36">
        <v>161777753.31</v>
      </c>
      <c r="G20" s="36">
        <v>103733678.27999999</v>
      </c>
      <c r="H20" s="36">
        <v>53900588.590000004</v>
      </c>
      <c r="I20" s="36">
        <v>75878391.219999999</v>
      </c>
      <c r="J20" s="36">
        <v>41111915.07</v>
      </c>
      <c r="K20" s="272">
        <v>0</v>
      </c>
    </row>
    <row r="21" spans="1:11">
      <c r="A21" s="33" t="s">
        <v>102</v>
      </c>
      <c r="B21" s="3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272">
        <v>0</v>
      </c>
    </row>
    <row r="22" spans="1:11">
      <c r="A22" s="33" t="s">
        <v>103</v>
      </c>
      <c r="B22" s="36">
        <v>47797.5</v>
      </c>
      <c r="C22" s="36">
        <v>43896.76</v>
      </c>
      <c r="D22" s="36">
        <v>56577.5</v>
      </c>
      <c r="E22" s="36">
        <v>120121.37</v>
      </c>
      <c r="F22" s="36">
        <v>710522.33</v>
      </c>
      <c r="G22" s="36">
        <v>1670990.4700000002</v>
      </c>
      <c r="H22" s="36">
        <v>789063.23</v>
      </c>
      <c r="I22" s="36">
        <v>99562.389999999985</v>
      </c>
      <c r="J22" s="36">
        <v>582873.76</v>
      </c>
      <c r="K22" s="272">
        <v>0</v>
      </c>
    </row>
    <row r="23" spans="1:11">
      <c r="A23" s="33" t="s">
        <v>104</v>
      </c>
      <c r="B23" s="36">
        <v>211435193.41</v>
      </c>
      <c r="C23" s="36">
        <v>385563975.85000002</v>
      </c>
      <c r="D23" s="36">
        <v>245490011.28</v>
      </c>
      <c r="E23" s="36">
        <v>392507454.75</v>
      </c>
      <c r="F23" s="36">
        <v>325421341.69</v>
      </c>
      <c r="G23" s="36">
        <v>297492036.81999999</v>
      </c>
      <c r="H23" s="36">
        <v>249401909.13</v>
      </c>
      <c r="I23" s="36">
        <v>233544864.59999999</v>
      </c>
      <c r="J23" s="36">
        <v>189395284.74000001</v>
      </c>
      <c r="K23" s="272">
        <v>0</v>
      </c>
    </row>
    <row r="24" spans="1:11">
      <c r="A24" s="33" t="s">
        <v>105</v>
      </c>
      <c r="B24" s="36">
        <v>377199408.09999996</v>
      </c>
      <c r="C24" s="36">
        <v>112581503.64999999</v>
      </c>
      <c r="D24" s="36">
        <v>149832539.31</v>
      </c>
      <c r="E24" s="36">
        <v>181704859.61000001</v>
      </c>
      <c r="F24" s="36">
        <v>197004847.94</v>
      </c>
      <c r="G24" s="36">
        <v>90142507.200000003</v>
      </c>
      <c r="H24" s="36">
        <v>64108014.82</v>
      </c>
      <c r="I24" s="36">
        <v>45275011.489999995</v>
      </c>
      <c r="J24" s="36">
        <v>12959532.629999999</v>
      </c>
      <c r="K24" s="272">
        <v>0</v>
      </c>
    </row>
    <row r="25" spans="1:11">
      <c r="A25" s="33" t="s">
        <v>106</v>
      </c>
      <c r="B25" s="36">
        <v>9607.2900000000009</v>
      </c>
      <c r="C25" s="36">
        <v>33783.71</v>
      </c>
      <c r="D25" s="36">
        <v>19851.16</v>
      </c>
      <c r="E25" s="36">
        <v>128027.83</v>
      </c>
      <c r="F25" s="36">
        <v>182005.68</v>
      </c>
      <c r="G25" s="36">
        <v>6206028.790000001</v>
      </c>
      <c r="H25" s="36">
        <v>4140435.82</v>
      </c>
      <c r="I25" s="36">
        <v>1851.9</v>
      </c>
      <c r="J25" s="36">
        <v>31623008.73</v>
      </c>
      <c r="K25" s="272">
        <v>0</v>
      </c>
    </row>
    <row r="26" spans="1:11">
      <c r="A26" s="33" t="s">
        <v>107</v>
      </c>
      <c r="B26" s="36">
        <v>172502222.28</v>
      </c>
      <c r="C26" s="36">
        <v>247656042.30000001</v>
      </c>
      <c r="D26" s="36">
        <v>181583871.34999999</v>
      </c>
      <c r="E26" s="36">
        <v>307169985.73000002</v>
      </c>
      <c r="F26" s="36">
        <v>304315338.49000001</v>
      </c>
      <c r="G26" s="36">
        <v>218491749.28</v>
      </c>
      <c r="H26" s="36">
        <v>177457561.19999999</v>
      </c>
      <c r="I26" s="36">
        <v>136941189.25</v>
      </c>
      <c r="J26" s="36">
        <v>87174903.689999998</v>
      </c>
      <c r="K26" s="272">
        <v>0</v>
      </c>
    </row>
    <row r="27" spans="1:11">
      <c r="A27" s="33" t="s">
        <v>108</v>
      </c>
      <c r="B27" s="36">
        <v>478211.55</v>
      </c>
      <c r="C27" s="36">
        <v>511912.33999999997</v>
      </c>
      <c r="D27" s="36">
        <v>436063.37</v>
      </c>
      <c r="E27" s="36">
        <v>622210.17000000004</v>
      </c>
      <c r="F27" s="36">
        <v>960723.89999999991</v>
      </c>
      <c r="G27" s="36">
        <v>554779.19999999995</v>
      </c>
      <c r="H27" s="36">
        <v>853012.37</v>
      </c>
      <c r="I27" s="36">
        <v>806841.22</v>
      </c>
      <c r="J27" s="36">
        <v>943407.78</v>
      </c>
      <c r="K27" s="272">
        <v>0</v>
      </c>
    </row>
    <row r="28" spans="1:11">
      <c r="A28" s="33" t="s">
        <v>109</v>
      </c>
      <c r="B28" s="36">
        <v>711596409.20000005</v>
      </c>
      <c r="C28" s="36">
        <v>307245982.46000004</v>
      </c>
      <c r="D28" s="36">
        <v>199206612.91</v>
      </c>
      <c r="E28" s="36">
        <v>350101607.76999998</v>
      </c>
      <c r="F28" s="36">
        <v>336547419.06</v>
      </c>
      <c r="G28" s="36">
        <v>251918679.81</v>
      </c>
      <c r="H28" s="36">
        <v>226801556.28999999</v>
      </c>
      <c r="I28" s="36">
        <v>205679752.31</v>
      </c>
      <c r="J28" s="36">
        <v>177659542.19</v>
      </c>
      <c r="K28" s="272">
        <v>0</v>
      </c>
    </row>
    <row r="29" spans="1:11">
      <c r="A29" s="33" t="s">
        <v>110</v>
      </c>
      <c r="B29" s="36">
        <v>0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272">
        <v>0</v>
      </c>
    </row>
    <row r="30" spans="1:11">
      <c r="A30" s="33" t="s">
        <v>111</v>
      </c>
      <c r="B30" s="36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272">
        <v>0</v>
      </c>
    </row>
    <row r="31" spans="1:11">
      <c r="A31" s="33"/>
      <c r="B31" s="36"/>
      <c r="C31" s="36"/>
      <c r="D31" s="36"/>
      <c r="E31" s="36"/>
      <c r="F31" s="36"/>
      <c r="G31" s="36"/>
      <c r="H31" s="36"/>
      <c r="I31" s="10"/>
    </row>
    <row r="32" spans="1:11">
      <c r="A32" s="35" t="s">
        <v>112</v>
      </c>
      <c r="B32" s="37">
        <f t="shared" ref="B32:G32" si="0">SUM(B6:B30)</f>
        <v>4435674554.2599993</v>
      </c>
      <c r="C32" s="37">
        <f t="shared" si="0"/>
        <v>3434452214.6400008</v>
      </c>
      <c r="D32" s="37">
        <f t="shared" si="0"/>
        <v>3089624088.0300002</v>
      </c>
      <c r="E32" s="37">
        <f t="shared" si="0"/>
        <v>4157369625.0100002</v>
      </c>
      <c r="F32" s="37">
        <f t="shared" si="0"/>
        <v>5124235060.0200005</v>
      </c>
      <c r="G32" s="37">
        <f t="shared" si="0"/>
        <v>3817165283.1399999</v>
      </c>
      <c r="H32" s="37">
        <f>SUM(H6:H30)</f>
        <v>2978748571.54</v>
      </c>
      <c r="I32" s="37">
        <f>SUM(I6:I30)</f>
        <v>2260054866.7900004</v>
      </c>
      <c r="J32" s="37">
        <f>SUM(J6:J30)</f>
        <v>1496824679.24</v>
      </c>
      <c r="K32" s="37">
        <f>SUM(K6:K30)</f>
        <v>0</v>
      </c>
    </row>
    <row r="33" spans="1:11">
      <c r="B33" s="10"/>
      <c r="C33" s="10"/>
      <c r="D33" s="10"/>
      <c r="E33" s="10"/>
      <c r="F33" s="10"/>
      <c r="G33" s="10"/>
      <c r="H33" s="10"/>
      <c r="I33" s="10"/>
    </row>
    <row r="34" spans="1:11">
      <c r="K34" s="11" t="s">
        <v>354</v>
      </c>
    </row>
    <row r="39" spans="1:11">
      <c r="A39" s="5" t="s">
        <v>114</v>
      </c>
      <c r="B39" s="9"/>
      <c r="C39" s="9"/>
      <c r="D39" s="9"/>
      <c r="E39" s="9"/>
      <c r="F39" s="9"/>
      <c r="G39" s="9"/>
      <c r="H39" s="9"/>
      <c r="I39" s="9"/>
    </row>
    <row r="40" spans="1:11">
      <c r="A40" s="50" t="s">
        <v>153</v>
      </c>
      <c r="B40" s="45"/>
      <c r="C40" s="45"/>
      <c r="D40" s="45"/>
      <c r="E40" s="45"/>
      <c r="F40" s="45"/>
      <c r="G40" s="45"/>
      <c r="H40" s="45"/>
      <c r="I40" s="45"/>
    </row>
    <row r="42" spans="1:11">
      <c r="A42" s="11" t="s">
        <v>143</v>
      </c>
    </row>
    <row r="43" spans="1:11">
      <c r="A43" s="10" t="s">
        <v>115</v>
      </c>
    </row>
    <row r="45" spans="1:11">
      <c r="A45" s="11" t="s">
        <v>140</v>
      </c>
    </row>
    <row r="46" spans="1:11">
      <c r="A46" s="10" t="s">
        <v>116</v>
      </c>
    </row>
    <row r="47" spans="1:11">
      <c r="A47" s="10" t="s">
        <v>117</v>
      </c>
    </row>
    <row r="48" spans="1:11">
      <c r="A48" s="10" t="s">
        <v>118</v>
      </c>
    </row>
    <row r="49" spans="1:1">
      <c r="A49" s="10" t="s">
        <v>119</v>
      </c>
    </row>
    <row r="50" spans="1:1">
      <c r="A50" s="10" t="s">
        <v>120</v>
      </c>
    </row>
    <row r="52" spans="1:1">
      <c r="A52" s="10" t="s">
        <v>121</v>
      </c>
    </row>
    <row r="54" spans="1:1">
      <c r="A54" s="11" t="s">
        <v>141</v>
      </c>
    </row>
    <row r="55" spans="1:1">
      <c r="A55" s="10" t="s">
        <v>280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ignoredErrors>
    <ignoredError sqref="B32:I32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0"/>
    <pageSetUpPr fitToPage="1"/>
  </sheetPr>
  <dimension ref="A1:K87"/>
  <sheetViews>
    <sheetView zoomScaleNormal="100" workbookViewId="0"/>
  </sheetViews>
  <sheetFormatPr baseColWidth="10" defaultColWidth="11.5703125" defaultRowHeight="12"/>
  <cols>
    <col min="1" max="1" width="17.5703125" style="10" customWidth="1"/>
    <col min="2" max="5" width="13.42578125" style="18" customWidth="1"/>
    <col min="6" max="9" width="13.42578125" style="12" customWidth="1"/>
    <col min="10" max="11" width="13.42578125" style="10" customWidth="1"/>
    <col min="12" max="16384" width="11.5703125" style="10"/>
  </cols>
  <sheetData>
    <row r="1" spans="1:11" ht="15">
      <c r="A1" s="34" t="s">
        <v>235</v>
      </c>
    </row>
    <row r="2" spans="1:11" ht="15">
      <c r="A2" s="34" t="s">
        <v>123</v>
      </c>
    </row>
    <row r="3" spans="1:11">
      <c r="A3" s="33" t="s">
        <v>86</v>
      </c>
      <c r="G3" s="28"/>
      <c r="H3" s="28"/>
    </row>
    <row r="5" spans="1:11">
      <c r="E5" s="12"/>
    </row>
    <row r="6" spans="1:11">
      <c r="A6" s="186" t="s">
        <v>233</v>
      </c>
      <c r="B6" s="187">
        <v>2008</v>
      </c>
      <c r="C6" s="187">
        <v>2009</v>
      </c>
      <c r="D6" s="187">
        <v>2010</v>
      </c>
      <c r="E6" s="187">
        <v>2011</v>
      </c>
      <c r="F6" s="187">
        <v>2012</v>
      </c>
      <c r="G6" s="187">
        <v>2013</v>
      </c>
      <c r="H6" s="187">
        <v>2014</v>
      </c>
      <c r="I6" s="187">
        <v>2015</v>
      </c>
      <c r="J6" s="187">
        <v>2016</v>
      </c>
      <c r="K6" s="187">
        <v>2017</v>
      </c>
    </row>
    <row r="7" spans="1:11">
      <c r="A7" s="33" t="s">
        <v>87</v>
      </c>
      <c r="B7" s="36">
        <v>134260</v>
      </c>
      <c r="C7" s="36">
        <v>4436</v>
      </c>
      <c r="D7" s="36">
        <v>4468</v>
      </c>
      <c r="E7" s="36">
        <v>923</v>
      </c>
      <c r="F7" s="36">
        <v>39</v>
      </c>
      <c r="G7" s="36">
        <v>48</v>
      </c>
      <c r="H7" s="36">
        <v>58</v>
      </c>
      <c r="I7" s="36">
        <v>74.92</v>
      </c>
      <c r="J7" s="36">
        <v>61.78</v>
      </c>
      <c r="K7" s="36">
        <v>26.189999999999998</v>
      </c>
    </row>
    <row r="8" spans="1:11">
      <c r="A8" s="33" t="s">
        <v>88</v>
      </c>
      <c r="B8" s="36">
        <v>5169377</v>
      </c>
      <c r="C8" s="36">
        <v>1914984</v>
      </c>
      <c r="D8" s="36">
        <v>4392094</v>
      </c>
      <c r="E8" s="36">
        <v>5143777</v>
      </c>
      <c r="F8" s="36">
        <v>2307836</v>
      </c>
      <c r="G8" s="36">
        <v>3591939</v>
      </c>
      <c r="H8" s="36">
        <v>2794537</v>
      </c>
      <c r="I8" s="36">
        <v>3593649.19</v>
      </c>
      <c r="J8" s="36">
        <v>64479376.629999995</v>
      </c>
      <c r="K8" s="36">
        <v>91404515.439999998</v>
      </c>
    </row>
    <row r="9" spans="1:11">
      <c r="A9" s="33" t="s">
        <v>89</v>
      </c>
      <c r="B9" s="36">
        <v>2377545</v>
      </c>
      <c r="C9" s="36">
        <v>454836</v>
      </c>
      <c r="D9" s="36">
        <v>140127</v>
      </c>
      <c r="E9" s="36">
        <v>630930</v>
      </c>
      <c r="F9" s="36">
        <v>1467003</v>
      </c>
      <c r="G9" s="36">
        <v>2311448</v>
      </c>
      <c r="H9" s="36">
        <v>465201</v>
      </c>
      <c r="I9" s="36">
        <v>1873625.73</v>
      </c>
      <c r="J9" s="36">
        <v>5593507.0299999993</v>
      </c>
      <c r="K9" s="36">
        <v>2466843.71</v>
      </c>
    </row>
    <row r="10" spans="1:11">
      <c r="A10" s="33" t="s">
        <v>90</v>
      </c>
      <c r="B10" s="36">
        <v>32353502</v>
      </c>
      <c r="C10" s="36">
        <v>37677744</v>
      </c>
      <c r="D10" s="36">
        <v>47817208</v>
      </c>
      <c r="E10" s="36">
        <v>62327359</v>
      </c>
      <c r="F10" s="36">
        <v>34047458</v>
      </c>
      <c r="G10" s="36">
        <v>28469309</v>
      </c>
      <c r="H10" s="36">
        <v>61205266</v>
      </c>
      <c r="I10" s="36">
        <v>70970669.489999995</v>
      </c>
      <c r="J10" s="36">
        <v>346070142.09000003</v>
      </c>
      <c r="K10" s="36">
        <v>115092395.74000001</v>
      </c>
    </row>
    <row r="11" spans="1:11">
      <c r="A11" s="33" t="s">
        <v>91</v>
      </c>
      <c r="B11" s="36">
        <v>2987536</v>
      </c>
      <c r="C11" s="36">
        <v>5680483</v>
      </c>
      <c r="D11" s="36">
        <v>14009728</v>
      </c>
      <c r="E11" s="36">
        <v>27428581</v>
      </c>
      <c r="F11" s="36">
        <v>11305525</v>
      </c>
      <c r="G11" s="36">
        <v>8838112</v>
      </c>
      <c r="H11" s="36">
        <v>9143440</v>
      </c>
      <c r="I11" s="36">
        <v>10431709.24</v>
      </c>
      <c r="J11" s="36">
        <v>13828411.4</v>
      </c>
      <c r="K11" s="36">
        <v>8829130.9600000009</v>
      </c>
    </row>
    <row r="12" spans="1:11">
      <c r="A12" s="33" t="s">
        <v>92</v>
      </c>
      <c r="B12" s="36">
        <v>603619</v>
      </c>
      <c r="C12" s="36">
        <v>14610064</v>
      </c>
      <c r="D12" s="36">
        <v>57124732</v>
      </c>
      <c r="E12" s="36">
        <v>89462978</v>
      </c>
      <c r="F12" s="36">
        <v>54639955</v>
      </c>
      <c r="G12" s="36">
        <v>85457657</v>
      </c>
      <c r="H12" s="36">
        <v>43509723</v>
      </c>
      <c r="I12" s="36">
        <v>37939895.130000003</v>
      </c>
      <c r="J12" s="36">
        <v>39867955.800000004</v>
      </c>
      <c r="K12" s="36">
        <v>24610858.650000002</v>
      </c>
    </row>
    <row r="13" spans="1:11">
      <c r="A13" s="33" t="s">
        <v>93</v>
      </c>
      <c r="B13" s="36">
        <v>0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</row>
    <row r="14" spans="1:11">
      <c r="A14" s="33" t="s">
        <v>94</v>
      </c>
      <c r="B14" s="36">
        <v>0</v>
      </c>
      <c r="C14" s="36">
        <v>0</v>
      </c>
      <c r="D14" s="36">
        <v>19385830</v>
      </c>
      <c r="E14" s="36">
        <v>39996699</v>
      </c>
      <c r="F14" s="36">
        <v>28282072</v>
      </c>
      <c r="G14" s="36">
        <v>21311417</v>
      </c>
      <c r="H14" s="36">
        <v>38022772</v>
      </c>
      <c r="I14" s="36">
        <v>91040799.520000011</v>
      </c>
      <c r="J14" s="36">
        <v>108135667.40000001</v>
      </c>
      <c r="K14" s="36">
        <v>62512578.380000003</v>
      </c>
    </row>
    <row r="15" spans="1:11">
      <c r="A15" s="33" t="s">
        <v>95</v>
      </c>
      <c r="B15" s="36">
        <v>13695532</v>
      </c>
      <c r="C15" s="36">
        <v>7409606</v>
      </c>
      <c r="D15" s="36">
        <v>11902860</v>
      </c>
      <c r="E15" s="36">
        <v>21536755</v>
      </c>
      <c r="F15" s="36">
        <v>7169662</v>
      </c>
      <c r="G15" s="36">
        <v>6575704</v>
      </c>
      <c r="H15" s="36">
        <v>6097305</v>
      </c>
      <c r="I15" s="36">
        <v>7386627.25</v>
      </c>
      <c r="J15" s="36">
        <v>4262079.09</v>
      </c>
      <c r="K15" s="36">
        <v>2404373.46</v>
      </c>
    </row>
    <row r="16" spans="1:11">
      <c r="A16" s="33" t="s">
        <v>96</v>
      </c>
      <c r="B16" s="36">
        <v>1932104</v>
      </c>
      <c r="C16" s="36">
        <v>925949</v>
      </c>
      <c r="D16" s="36">
        <v>1421240</v>
      </c>
      <c r="E16" s="36">
        <v>2460403</v>
      </c>
      <c r="F16" s="36">
        <v>1312787</v>
      </c>
      <c r="G16" s="36">
        <v>1350610</v>
      </c>
      <c r="H16" s="36">
        <v>1417405</v>
      </c>
      <c r="I16" s="36">
        <v>1940862.95</v>
      </c>
      <c r="J16" s="36">
        <v>1996555.1700000002</v>
      </c>
      <c r="K16" s="36">
        <v>1511267.92</v>
      </c>
    </row>
    <row r="17" spans="1:11">
      <c r="A17" s="33" t="s">
        <v>97</v>
      </c>
      <c r="B17" s="36">
        <v>11287173</v>
      </c>
      <c r="C17" s="36">
        <v>8048300</v>
      </c>
      <c r="D17" s="36">
        <v>12491671</v>
      </c>
      <c r="E17" s="36">
        <v>28657841</v>
      </c>
      <c r="F17" s="36">
        <v>50162706</v>
      </c>
      <c r="G17" s="36">
        <v>39303662</v>
      </c>
      <c r="H17" s="36">
        <v>48393448</v>
      </c>
      <c r="I17" s="36">
        <v>12316881.129999999</v>
      </c>
      <c r="J17" s="36">
        <v>10090881.529999999</v>
      </c>
      <c r="K17" s="36">
        <v>6258486.3699999992</v>
      </c>
    </row>
    <row r="18" spans="1:11">
      <c r="A18" s="33" t="s">
        <v>98</v>
      </c>
      <c r="B18" s="36">
        <v>28059807</v>
      </c>
      <c r="C18" s="36">
        <v>20609806</v>
      </c>
      <c r="D18" s="36">
        <v>35561680</v>
      </c>
      <c r="E18" s="36">
        <v>51439201</v>
      </c>
      <c r="F18" s="36">
        <v>14513337</v>
      </c>
      <c r="G18" s="36">
        <v>22211870</v>
      </c>
      <c r="H18" s="36">
        <v>4771452</v>
      </c>
      <c r="I18" s="36">
        <v>42233184.329999998</v>
      </c>
      <c r="J18" s="36">
        <v>23859437.209999997</v>
      </c>
      <c r="K18" s="36">
        <v>14887953.140000001</v>
      </c>
    </row>
    <row r="19" spans="1:11">
      <c r="A19" s="33" t="s">
        <v>99</v>
      </c>
      <c r="B19" s="36">
        <v>23501267</v>
      </c>
      <c r="C19" s="36">
        <v>26089773</v>
      </c>
      <c r="D19" s="36">
        <v>41357775</v>
      </c>
      <c r="E19" s="36">
        <v>62079461</v>
      </c>
      <c r="F19" s="36">
        <v>46281459</v>
      </c>
      <c r="G19" s="36">
        <v>43177064</v>
      </c>
      <c r="H19" s="36">
        <v>35976682</v>
      </c>
      <c r="I19" s="36">
        <v>40327207.729999997</v>
      </c>
      <c r="J19" s="36">
        <v>38962430.539999999</v>
      </c>
      <c r="K19" s="36">
        <v>25375107.869999997</v>
      </c>
    </row>
    <row r="20" spans="1:11">
      <c r="A20" s="33" t="s">
        <v>100</v>
      </c>
      <c r="B20" s="36">
        <v>0</v>
      </c>
      <c r="C20" s="36">
        <v>0</v>
      </c>
      <c r="D20" s="36">
        <v>25896</v>
      </c>
      <c r="E20" s="36">
        <v>124424</v>
      </c>
      <c r="F20" s="36">
        <v>29154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</row>
    <row r="21" spans="1:11">
      <c r="A21" s="33" t="s">
        <v>101</v>
      </c>
      <c r="B21" s="36">
        <v>42749832</v>
      </c>
      <c r="C21" s="36">
        <v>18927527</v>
      </c>
      <c r="D21" s="36">
        <v>35863622</v>
      </c>
      <c r="E21" s="36">
        <v>69320655</v>
      </c>
      <c r="F21" s="36">
        <v>26921423</v>
      </c>
      <c r="G21" s="36">
        <v>29843264</v>
      </c>
      <c r="H21" s="36">
        <v>24527570</v>
      </c>
      <c r="I21" s="36">
        <v>40962473.659999996</v>
      </c>
      <c r="J21" s="36">
        <v>28250435.450000003</v>
      </c>
      <c r="K21" s="36">
        <v>20155017.27</v>
      </c>
    </row>
    <row r="22" spans="1:11">
      <c r="A22" s="33" t="s">
        <v>102</v>
      </c>
      <c r="B22" s="36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</row>
    <row r="23" spans="1:11">
      <c r="A23" s="33" t="s">
        <v>103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</row>
    <row r="24" spans="1:11">
      <c r="A24" s="33" t="s">
        <v>104</v>
      </c>
      <c r="B24" s="36">
        <v>104590058</v>
      </c>
      <c r="C24" s="36">
        <v>55321786</v>
      </c>
      <c r="D24" s="36">
        <v>93874114</v>
      </c>
      <c r="E24" s="36">
        <v>102567807</v>
      </c>
      <c r="F24" s="36">
        <v>88816447</v>
      </c>
      <c r="G24" s="36">
        <v>58598499</v>
      </c>
      <c r="H24" s="36">
        <v>49229991</v>
      </c>
      <c r="I24" s="36">
        <v>50191725.279999994</v>
      </c>
      <c r="J24" s="36">
        <v>31014915.91</v>
      </c>
      <c r="K24" s="36">
        <v>17006930.07</v>
      </c>
    </row>
    <row r="25" spans="1:11">
      <c r="A25" s="33" t="s">
        <v>105</v>
      </c>
      <c r="B25" s="36">
        <v>57814651</v>
      </c>
      <c r="C25" s="36">
        <v>31390469</v>
      </c>
      <c r="D25" s="36">
        <v>52135742</v>
      </c>
      <c r="E25" s="36">
        <v>75166609</v>
      </c>
      <c r="F25" s="36">
        <v>24788149</v>
      </c>
      <c r="G25" s="36">
        <v>32663590</v>
      </c>
      <c r="H25" s="36">
        <v>15509637</v>
      </c>
      <c r="I25" s="36">
        <v>41367240.32</v>
      </c>
      <c r="J25" s="36">
        <v>21140128.490000002</v>
      </c>
      <c r="K25" s="36">
        <v>14774452.210000001</v>
      </c>
    </row>
    <row r="26" spans="1:11">
      <c r="A26" s="33" t="s">
        <v>106</v>
      </c>
      <c r="B26" s="36">
        <v>913</v>
      </c>
      <c r="C26" s="36">
        <v>0</v>
      </c>
      <c r="D26" s="36">
        <v>1291</v>
      </c>
      <c r="E26" s="36">
        <v>168584</v>
      </c>
      <c r="F26" s="36">
        <v>127077</v>
      </c>
      <c r="G26" s="36">
        <v>172335</v>
      </c>
      <c r="H26" s="36">
        <v>288123</v>
      </c>
      <c r="I26" s="36">
        <v>296383.94</v>
      </c>
      <c r="J26" s="36">
        <v>617143.41</v>
      </c>
      <c r="K26" s="36">
        <v>261470.28</v>
      </c>
    </row>
    <row r="27" spans="1:11">
      <c r="A27" s="33" t="s">
        <v>107</v>
      </c>
      <c r="B27" s="36">
        <v>62394204</v>
      </c>
      <c r="C27" s="36">
        <v>38500189</v>
      </c>
      <c r="D27" s="36">
        <v>64903313</v>
      </c>
      <c r="E27" s="36">
        <v>76674845</v>
      </c>
      <c r="F27" s="36">
        <v>59113704</v>
      </c>
      <c r="G27" s="36">
        <v>46641569</v>
      </c>
      <c r="H27" s="36">
        <v>49023865</v>
      </c>
      <c r="I27" s="36">
        <v>26760661.670000002</v>
      </c>
      <c r="J27" s="36">
        <v>19687433.66</v>
      </c>
      <c r="K27" s="36">
        <v>17454687.93</v>
      </c>
    </row>
    <row r="28" spans="1:11">
      <c r="A28" s="33" t="s">
        <v>108</v>
      </c>
      <c r="B28" s="36">
        <v>14992</v>
      </c>
      <c r="C28" s="36">
        <v>15561</v>
      </c>
      <c r="D28" s="36">
        <v>19786</v>
      </c>
      <c r="E28" s="36">
        <v>70114</v>
      </c>
      <c r="F28" s="36">
        <v>103084</v>
      </c>
      <c r="G28" s="36">
        <v>108145</v>
      </c>
      <c r="H28" s="36">
        <v>159648</v>
      </c>
      <c r="I28" s="36">
        <v>293277.71999999997</v>
      </c>
      <c r="J28" s="36">
        <v>252898.46</v>
      </c>
      <c r="K28" s="36">
        <v>134289.22</v>
      </c>
    </row>
    <row r="29" spans="1:11">
      <c r="A29" s="33" t="s">
        <v>109</v>
      </c>
      <c r="B29" s="36">
        <v>84725432</v>
      </c>
      <c r="C29" s="36">
        <v>40792981</v>
      </c>
      <c r="D29" s="36">
        <v>74792785</v>
      </c>
      <c r="E29" s="36">
        <v>105784527</v>
      </c>
      <c r="F29" s="36">
        <v>45183308</v>
      </c>
      <c r="G29" s="36">
        <v>48204769</v>
      </c>
      <c r="H29" s="36">
        <v>47222397</v>
      </c>
      <c r="I29" s="36">
        <v>47376779.530000001</v>
      </c>
      <c r="J29" s="36">
        <v>30387711.219999999</v>
      </c>
      <c r="K29" s="36">
        <v>15710345.530000001</v>
      </c>
    </row>
    <row r="30" spans="1:11">
      <c r="A30" s="33" t="s">
        <v>110</v>
      </c>
      <c r="B30" s="36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</row>
    <row r="31" spans="1:11">
      <c r="A31" s="33" t="s">
        <v>111</v>
      </c>
      <c r="B31" s="36">
        <v>0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</row>
    <row r="32" spans="1:11">
      <c r="A32" s="33"/>
      <c r="B32" s="36"/>
      <c r="C32" s="36"/>
      <c r="D32" s="36"/>
      <c r="E32" s="36"/>
      <c r="F32" s="36"/>
      <c r="G32" s="36"/>
      <c r="H32" s="36"/>
      <c r="I32" s="10"/>
    </row>
    <row r="33" spans="1:11">
      <c r="A33" s="35" t="s">
        <v>112</v>
      </c>
      <c r="B33" s="37">
        <f t="shared" ref="B33:G33" si="0">SUM(B7:B31)</f>
        <v>474391804</v>
      </c>
      <c r="C33" s="37">
        <f t="shared" si="0"/>
        <v>308374494</v>
      </c>
      <c r="D33" s="37">
        <f t="shared" si="0"/>
        <v>567225962</v>
      </c>
      <c r="E33" s="37">
        <f t="shared" si="0"/>
        <v>821042473</v>
      </c>
      <c r="F33" s="37">
        <f t="shared" si="0"/>
        <v>496572185</v>
      </c>
      <c r="G33" s="37">
        <f t="shared" si="0"/>
        <v>478831011</v>
      </c>
      <c r="H33" s="37">
        <f>SUM(H7:H31)</f>
        <v>437758520</v>
      </c>
      <c r="I33" s="37">
        <f>SUM(I7:I31)</f>
        <v>527303728.73000002</v>
      </c>
      <c r="J33" s="37">
        <f>SUM(J7:J31)</f>
        <v>788497172.26999998</v>
      </c>
      <c r="K33" s="37">
        <f>SUM(K7:K31)</f>
        <v>440850730.33999991</v>
      </c>
    </row>
    <row r="34" spans="1:11">
      <c r="B34" s="10"/>
      <c r="C34" s="10"/>
      <c r="D34" s="10"/>
      <c r="E34" s="10"/>
      <c r="F34" s="10"/>
      <c r="G34" s="10"/>
      <c r="H34" s="10"/>
      <c r="I34" s="10"/>
    </row>
    <row r="40" spans="1:11">
      <c r="A40" s="5" t="s">
        <v>114</v>
      </c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>
      <c r="A41" s="50" t="s">
        <v>153</v>
      </c>
      <c r="B41" s="45"/>
      <c r="C41" s="45"/>
      <c r="D41" s="45"/>
      <c r="E41" s="45"/>
      <c r="F41" s="45"/>
      <c r="G41" s="45"/>
      <c r="H41" s="45"/>
      <c r="I41" s="45"/>
    </row>
    <row r="43" spans="1:11">
      <c r="A43" s="11" t="s">
        <v>142</v>
      </c>
    </row>
    <row r="44" spans="1:11">
      <c r="A44" s="10" t="s">
        <v>115</v>
      </c>
    </row>
    <row r="46" spans="1:11">
      <c r="A46" s="11" t="s">
        <v>140</v>
      </c>
    </row>
    <row r="47" spans="1:11">
      <c r="A47" s="10" t="s">
        <v>116</v>
      </c>
    </row>
    <row r="48" spans="1:11">
      <c r="A48" s="10" t="s">
        <v>117</v>
      </c>
    </row>
    <row r="49" spans="1:9">
      <c r="A49" s="10" t="s">
        <v>118</v>
      </c>
    </row>
    <row r="50" spans="1:9">
      <c r="A50" s="10" t="s">
        <v>119</v>
      </c>
    </row>
    <row r="51" spans="1:9">
      <c r="A51" s="10" t="s">
        <v>120</v>
      </c>
    </row>
    <row r="53" spans="1:9">
      <c r="A53" s="10" t="s">
        <v>121</v>
      </c>
    </row>
    <row r="55" spans="1:9">
      <c r="A55" s="11" t="s">
        <v>141</v>
      </c>
    </row>
    <row r="56" spans="1:9">
      <c r="A56" s="10" t="s">
        <v>279</v>
      </c>
    </row>
    <row r="61" spans="1:9">
      <c r="G61" s="234"/>
      <c r="H61" s="234"/>
      <c r="I61" s="18"/>
    </row>
    <row r="62" spans="1:9">
      <c r="F62" s="14"/>
      <c r="G62" s="14"/>
      <c r="H62" s="14"/>
      <c r="I62" s="14"/>
    </row>
    <row r="63" spans="1:9">
      <c r="F63" s="14"/>
      <c r="G63" s="14"/>
      <c r="H63" s="14"/>
      <c r="I63" s="14"/>
    </row>
    <row r="64" spans="1:9">
      <c r="F64" s="14"/>
      <c r="G64" s="14"/>
      <c r="H64" s="14"/>
      <c r="I64" s="14"/>
    </row>
    <row r="65" spans="6:9">
      <c r="F65" s="14"/>
      <c r="G65" s="14"/>
      <c r="H65" s="14"/>
      <c r="I65" s="14"/>
    </row>
    <row r="66" spans="6:9">
      <c r="F66" s="14"/>
      <c r="G66" s="14"/>
      <c r="H66" s="14"/>
      <c r="I66" s="14"/>
    </row>
    <row r="68" spans="6:9">
      <c r="F68" s="14"/>
      <c r="G68" s="14"/>
      <c r="H68" s="14"/>
      <c r="I68" s="14"/>
    </row>
    <row r="69" spans="6:9">
      <c r="F69" s="14"/>
      <c r="G69" s="14"/>
      <c r="H69" s="14"/>
      <c r="I69" s="14"/>
    </row>
    <row r="70" spans="6:9">
      <c r="F70" s="14"/>
      <c r="G70" s="14"/>
      <c r="H70" s="14"/>
      <c r="I70" s="14"/>
    </row>
    <row r="71" spans="6:9">
      <c r="F71" s="14"/>
      <c r="G71" s="14"/>
      <c r="H71" s="14"/>
      <c r="I71" s="14"/>
    </row>
    <row r="72" spans="6:9">
      <c r="F72" s="14"/>
      <c r="G72" s="14"/>
      <c r="H72" s="14"/>
      <c r="I72" s="14"/>
    </row>
    <row r="73" spans="6:9">
      <c r="F73" s="14"/>
      <c r="G73" s="14"/>
      <c r="H73" s="14"/>
      <c r="I73" s="14"/>
    </row>
    <row r="74" spans="6:9">
      <c r="F74" s="14"/>
    </row>
    <row r="75" spans="6:9">
      <c r="F75" s="14"/>
      <c r="G75" s="14"/>
      <c r="H75" s="14"/>
      <c r="I75" s="14"/>
    </row>
    <row r="78" spans="6:9">
      <c r="F78" s="14"/>
      <c r="G78" s="14"/>
      <c r="H78" s="14"/>
      <c r="I78" s="14"/>
    </row>
    <row r="79" spans="6:9">
      <c r="F79" s="14"/>
      <c r="G79" s="14"/>
      <c r="H79" s="14"/>
      <c r="I79" s="14"/>
    </row>
    <row r="80" spans="6:9">
      <c r="F80" s="14"/>
      <c r="G80" s="14"/>
      <c r="H80" s="14"/>
      <c r="I80" s="14"/>
    </row>
    <row r="81" spans="6:9">
      <c r="F81" s="14"/>
      <c r="G81" s="14"/>
      <c r="H81" s="14"/>
      <c r="I81" s="14"/>
    </row>
    <row r="82" spans="6:9">
      <c r="F82" s="14"/>
      <c r="G82" s="14"/>
      <c r="H82" s="14"/>
      <c r="I82" s="14"/>
    </row>
    <row r="83" spans="6:9">
      <c r="F83" s="14"/>
      <c r="G83" s="14"/>
      <c r="H83" s="14"/>
      <c r="I83" s="14"/>
    </row>
    <row r="87" spans="6:9">
      <c r="F87" s="14"/>
      <c r="G87" s="14"/>
      <c r="H87" s="14"/>
      <c r="I87" s="14"/>
    </row>
  </sheetData>
  <pageMargins left="0.70866141732283472" right="0.70866141732283472" top="0.74803149606299213" bottom="0.74803149606299213" header="0.31496062992125984" footer="0.31496062992125984"/>
  <pageSetup scale="47" orientation="landscape" r:id="rId1"/>
  <ignoredErrors>
    <ignoredError sqref="B33:I33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0"/>
    <pageSetUpPr fitToPage="1"/>
  </sheetPr>
  <dimension ref="A1:K44"/>
  <sheetViews>
    <sheetView zoomScaleNormal="100" workbookViewId="0">
      <selection activeCell="K34" sqref="A8:K34"/>
    </sheetView>
  </sheetViews>
  <sheetFormatPr baseColWidth="10" defaultColWidth="11.5703125" defaultRowHeight="12"/>
  <cols>
    <col min="1" max="1" width="19" style="10" customWidth="1"/>
    <col min="2" max="5" width="16.42578125" style="18" customWidth="1"/>
    <col min="6" max="9" width="16.42578125" style="12" customWidth="1"/>
    <col min="10" max="11" width="16.42578125" style="10" customWidth="1"/>
    <col min="12" max="16384" width="11.5703125" style="10"/>
  </cols>
  <sheetData>
    <row r="1" spans="1:11" ht="15">
      <c r="A1" s="34" t="s">
        <v>234</v>
      </c>
    </row>
    <row r="2" spans="1:11" ht="15">
      <c r="A2" s="34" t="s">
        <v>124</v>
      </c>
    </row>
    <row r="3" spans="1:11">
      <c r="A3" s="33" t="s">
        <v>86</v>
      </c>
      <c r="G3" s="28"/>
      <c r="H3" s="28"/>
    </row>
    <row r="4" spans="1:11" s="54" customFormat="1">
      <c r="A4" s="58"/>
      <c r="B4" s="76"/>
      <c r="C4" s="76"/>
      <c r="D4" s="76"/>
      <c r="E4" s="76"/>
      <c r="F4" s="57"/>
      <c r="G4" s="77"/>
      <c r="H4" s="77"/>
      <c r="I4" s="57"/>
    </row>
    <row r="6" spans="1:11">
      <c r="E6" s="12"/>
    </row>
    <row r="7" spans="1:11">
      <c r="A7" s="186" t="s">
        <v>233</v>
      </c>
      <c r="B7" s="187">
        <v>2008</v>
      </c>
      <c r="C7" s="187">
        <v>2009</v>
      </c>
      <c r="D7" s="187">
        <v>2010</v>
      </c>
      <c r="E7" s="187">
        <v>2011</v>
      </c>
      <c r="F7" s="187">
        <v>2012</v>
      </c>
      <c r="G7" s="187">
        <v>2013</v>
      </c>
      <c r="H7" s="187">
        <v>2014</v>
      </c>
      <c r="I7" s="187">
        <v>2015</v>
      </c>
      <c r="J7" s="187">
        <v>2016</v>
      </c>
      <c r="K7" s="187">
        <v>2017</v>
      </c>
    </row>
    <row r="8" spans="1:11">
      <c r="A8" s="33" t="s">
        <v>87</v>
      </c>
      <c r="B8" s="36">
        <v>1885446.8577241739</v>
      </c>
      <c r="C8" s="36">
        <v>2604136.0375251225</v>
      </c>
      <c r="D8" s="36">
        <v>2802081.8990824148</v>
      </c>
      <c r="E8" s="36">
        <v>2758912.084381836</v>
      </c>
      <c r="F8" s="36">
        <v>2598937.7619712553</v>
      </c>
      <c r="G8" s="36">
        <v>1825791.6429200002</v>
      </c>
      <c r="H8" s="36">
        <v>1956936.3164799998</v>
      </c>
      <c r="I8" s="36">
        <v>2181076.9615000002</v>
      </c>
      <c r="J8" s="36">
        <v>1553502.3721999999</v>
      </c>
      <c r="K8" s="36">
        <v>151273.84519999998</v>
      </c>
    </row>
    <row r="9" spans="1:11">
      <c r="A9" s="33" t="s">
        <v>88</v>
      </c>
      <c r="B9" s="36">
        <v>7656222.469328573</v>
      </c>
      <c r="C9" s="36">
        <v>7271730.0195494294</v>
      </c>
      <c r="D9" s="36">
        <v>8097946.9850280313</v>
      </c>
      <c r="E9" s="36">
        <v>9392414.2086814065</v>
      </c>
      <c r="F9" s="36">
        <v>10256307.121006878</v>
      </c>
      <c r="G9" s="36">
        <v>12277707.738180002</v>
      </c>
      <c r="H9" s="36">
        <v>13685005.948799999</v>
      </c>
      <c r="I9" s="36">
        <v>16128823.085964302</v>
      </c>
      <c r="J9" s="36">
        <v>19098014.896213755</v>
      </c>
      <c r="K9" s="36">
        <v>1564768.1711999997</v>
      </c>
    </row>
    <row r="10" spans="1:11">
      <c r="A10" s="33" t="s">
        <v>89</v>
      </c>
      <c r="B10" s="36">
        <v>7312841.2329840008</v>
      </c>
      <c r="C10" s="36">
        <v>4901382.6419947008</v>
      </c>
      <c r="D10" s="36">
        <v>6571717.9971504146</v>
      </c>
      <c r="E10" s="36">
        <v>7718362.3780964613</v>
      </c>
      <c r="F10" s="36">
        <v>7755266.2230911357</v>
      </c>
      <c r="G10" s="36">
        <v>9241030.0819799993</v>
      </c>
      <c r="H10" s="36">
        <v>9635277.1273599993</v>
      </c>
      <c r="I10" s="36">
        <v>10886734.440749506</v>
      </c>
      <c r="J10" s="36">
        <v>12727727.68325145</v>
      </c>
      <c r="K10" s="36">
        <v>1508174.7128000001</v>
      </c>
    </row>
    <row r="11" spans="1:11">
      <c r="A11" s="33" t="s">
        <v>90</v>
      </c>
      <c r="B11" s="36">
        <v>11777471.507764734</v>
      </c>
      <c r="C11" s="36">
        <v>13171182.898758335</v>
      </c>
      <c r="D11" s="36">
        <v>17153291.72868719</v>
      </c>
      <c r="E11" s="36">
        <v>18448408.87328168</v>
      </c>
      <c r="F11" s="36">
        <v>18923925.400259413</v>
      </c>
      <c r="G11" s="36">
        <v>21230830.52208</v>
      </c>
      <c r="H11" s="36">
        <v>20798111.013280001</v>
      </c>
      <c r="I11" s="36">
        <v>25913730.64844257</v>
      </c>
      <c r="J11" s="36">
        <v>31496327.391209595</v>
      </c>
      <c r="K11" s="36">
        <v>2614025.5822000001</v>
      </c>
    </row>
    <row r="12" spans="1:11">
      <c r="A12" s="33" t="s">
        <v>91</v>
      </c>
      <c r="B12" s="36">
        <v>6863988.4434866421</v>
      </c>
      <c r="C12" s="36">
        <v>4986369.0543342577</v>
      </c>
      <c r="D12" s="36">
        <v>7957769.1972676329</v>
      </c>
      <c r="E12" s="36">
        <v>8454082.1447049789</v>
      </c>
      <c r="F12" s="36">
        <v>9082065.8306906074</v>
      </c>
      <c r="G12" s="36">
        <v>9929504.8179599997</v>
      </c>
      <c r="H12" s="36">
        <v>10169321.679839998</v>
      </c>
      <c r="I12" s="36">
        <v>11031189.389992861</v>
      </c>
      <c r="J12" s="36">
        <v>11082766.354011515</v>
      </c>
      <c r="K12" s="36">
        <v>1072766.4469999999</v>
      </c>
    </row>
    <row r="13" spans="1:11">
      <c r="A13" s="33" t="s">
        <v>92</v>
      </c>
      <c r="B13" s="36">
        <v>13324471.013770783</v>
      </c>
      <c r="C13" s="36">
        <v>13318849.086986749</v>
      </c>
      <c r="D13" s="36">
        <v>15049567.406510746</v>
      </c>
      <c r="E13" s="36">
        <v>15557516.712760732</v>
      </c>
      <c r="F13" s="36">
        <v>15852389.235077644</v>
      </c>
      <c r="G13" s="36">
        <v>15830478.344440002</v>
      </c>
      <c r="H13" s="36">
        <v>16642735.962239999</v>
      </c>
      <c r="I13" s="36">
        <v>17557258.990963858</v>
      </c>
      <c r="J13" s="36">
        <v>21977352.859856691</v>
      </c>
      <c r="K13" s="36">
        <v>1936636.0085999998</v>
      </c>
    </row>
    <row r="14" spans="1:11">
      <c r="A14" s="33" t="s">
        <v>93</v>
      </c>
      <c r="B14" s="36">
        <v>11300.060776316483</v>
      </c>
      <c r="C14" s="36">
        <v>11245.963526444284</v>
      </c>
      <c r="D14" s="36">
        <v>22428.265658171251</v>
      </c>
      <c r="E14" s="36">
        <v>5088.0357128230453</v>
      </c>
      <c r="F14" s="36">
        <v>7579.0649344109852</v>
      </c>
      <c r="G14" s="36">
        <v>17516.543239999999</v>
      </c>
      <c r="H14" s="36">
        <v>13644.296479999999</v>
      </c>
      <c r="I14" s="36">
        <v>32464.558280000001</v>
      </c>
      <c r="J14" s="36">
        <v>28794.993199999997</v>
      </c>
      <c r="K14" s="36">
        <v>733.5</v>
      </c>
    </row>
    <row r="15" spans="1:11">
      <c r="A15" s="33" t="s">
        <v>94</v>
      </c>
      <c r="B15" s="36">
        <v>8335537.8569511361</v>
      </c>
      <c r="C15" s="36">
        <v>8329096.1438863734</v>
      </c>
      <c r="D15" s="36">
        <v>7606100.1849861285</v>
      </c>
      <c r="E15" s="36">
        <v>9659696.4300015625</v>
      </c>
      <c r="F15" s="36">
        <v>10939122.498419806</v>
      </c>
      <c r="G15" s="36">
        <v>12387522.480200002</v>
      </c>
      <c r="H15" s="36">
        <v>11999324.112959998</v>
      </c>
      <c r="I15" s="36">
        <v>13624297.120202912</v>
      </c>
      <c r="J15" s="36">
        <v>16881595.995758295</v>
      </c>
      <c r="K15" s="36">
        <v>1311124.3062</v>
      </c>
    </row>
    <row r="16" spans="1:11">
      <c r="A16" s="33" t="s">
        <v>95</v>
      </c>
      <c r="B16" s="36">
        <v>5581649.2709796997</v>
      </c>
      <c r="C16" s="36">
        <v>5155731.3510648236</v>
      </c>
      <c r="D16" s="36">
        <v>5154738.7779010274</v>
      </c>
      <c r="E16" s="36">
        <v>7840591.8007516256</v>
      </c>
      <c r="F16" s="36">
        <v>7771474.6991853416</v>
      </c>
      <c r="G16" s="36">
        <v>8466063.7667800002</v>
      </c>
      <c r="H16" s="36">
        <v>8703169.9118399993</v>
      </c>
      <c r="I16" s="36">
        <v>9920096.3440767042</v>
      </c>
      <c r="J16" s="36">
        <v>10845170.553095507</v>
      </c>
      <c r="K16" s="36">
        <v>570217.71659999993</v>
      </c>
    </row>
    <row r="17" spans="1:11">
      <c r="A17" s="33" t="s">
        <v>96</v>
      </c>
      <c r="B17" s="36">
        <v>2463420.5479415776</v>
      </c>
      <c r="C17" s="36">
        <v>1329665.642055142</v>
      </c>
      <c r="D17" s="36">
        <v>1515454.0002538557</v>
      </c>
      <c r="E17" s="36">
        <v>1702369.8013526185</v>
      </c>
      <c r="F17" s="36">
        <v>2326784.9731547069</v>
      </c>
      <c r="G17" s="36">
        <v>2581905.7791999998</v>
      </c>
      <c r="H17" s="36">
        <v>2938348.1512000002</v>
      </c>
      <c r="I17" s="36">
        <v>3535871.7847857946</v>
      </c>
      <c r="J17" s="36">
        <v>3365550.1730587832</v>
      </c>
      <c r="K17" s="36">
        <v>169226.17619999999</v>
      </c>
    </row>
    <row r="18" spans="1:11">
      <c r="A18" s="33" t="s">
        <v>97</v>
      </c>
      <c r="B18" s="36">
        <v>3429872.9844797268</v>
      </c>
      <c r="C18" s="36">
        <v>3060716.5959932036</v>
      </c>
      <c r="D18" s="36">
        <v>4025571.4172085314</v>
      </c>
      <c r="E18" s="36">
        <v>4414770.3028009674</v>
      </c>
      <c r="F18" s="36">
        <v>3968745.9335675007</v>
      </c>
      <c r="G18" s="36">
        <v>5200478.4551406</v>
      </c>
      <c r="H18" s="36">
        <v>5010835.9271999998</v>
      </c>
      <c r="I18" s="36">
        <v>7247308.4467009911</v>
      </c>
      <c r="J18" s="36">
        <v>6947433.0747984387</v>
      </c>
      <c r="K18" s="36">
        <v>389309.06959999993</v>
      </c>
    </row>
    <row r="19" spans="1:11">
      <c r="A19" s="33" t="s">
        <v>98</v>
      </c>
      <c r="B19" s="36">
        <v>4444856.7729877736</v>
      </c>
      <c r="C19" s="36">
        <v>4159594.2536357469</v>
      </c>
      <c r="D19" s="36">
        <v>6139814.2762503335</v>
      </c>
      <c r="E19" s="36">
        <v>6393963.5306224655</v>
      </c>
      <c r="F19" s="36">
        <v>7345486.7249576561</v>
      </c>
      <c r="G19" s="36">
        <v>7856575.2497799993</v>
      </c>
      <c r="H19" s="36">
        <v>8534969.0248000007</v>
      </c>
      <c r="I19" s="36">
        <v>8708975.1152234748</v>
      </c>
      <c r="J19" s="36">
        <v>11553465.403522396</v>
      </c>
      <c r="K19" s="36">
        <v>2375724.7339999997</v>
      </c>
    </row>
    <row r="20" spans="1:11">
      <c r="A20" s="33" t="s">
        <v>99</v>
      </c>
      <c r="B20" s="36">
        <v>9710945.0055526961</v>
      </c>
      <c r="C20" s="36">
        <v>10380841.300382096</v>
      </c>
      <c r="D20" s="36">
        <v>11409208.843352167</v>
      </c>
      <c r="E20" s="36">
        <v>12095515.775883485</v>
      </c>
      <c r="F20" s="36">
        <v>13367456.898452088</v>
      </c>
      <c r="G20" s="36">
        <v>13543384.77472</v>
      </c>
      <c r="H20" s="36">
        <v>14627549.89536</v>
      </c>
      <c r="I20" s="36">
        <v>16296320.475885883</v>
      </c>
      <c r="J20" s="36">
        <v>17911957.774550453</v>
      </c>
      <c r="K20" s="36">
        <v>1739822.9719999998</v>
      </c>
    </row>
    <row r="21" spans="1:11">
      <c r="A21" s="33" t="s">
        <v>100</v>
      </c>
      <c r="B21" s="36">
        <v>1059665.7928002398</v>
      </c>
      <c r="C21" s="36">
        <v>1423706.9451710866</v>
      </c>
      <c r="D21" s="36">
        <v>1521519.8981679007</v>
      </c>
      <c r="E21" s="36">
        <v>1790986.4947222113</v>
      </c>
      <c r="F21" s="36">
        <v>1734978.9298764425</v>
      </c>
      <c r="G21" s="36">
        <v>1644525.1435400001</v>
      </c>
      <c r="H21" s="36">
        <v>2044499.3359999999</v>
      </c>
      <c r="I21" s="36">
        <v>2820409.0690200003</v>
      </c>
      <c r="J21" s="36">
        <v>2966129.0277999998</v>
      </c>
      <c r="K21" s="36">
        <v>274629.73499999999</v>
      </c>
    </row>
    <row r="22" spans="1:11">
      <c r="A22" s="33" t="s">
        <v>101</v>
      </c>
      <c r="B22" s="36">
        <v>7667101.5063055521</v>
      </c>
      <c r="C22" s="36">
        <v>7801763.2186738746</v>
      </c>
      <c r="D22" s="36">
        <v>9431368.2414579075</v>
      </c>
      <c r="E22" s="36">
        <v>11380129.476038987</v>
      </c>
      <c r="F22" s="36">
        <v>11202302.463171164</v>
      </c>
      <c r="G22" s="36">
        <v>12173083.610840002</v>
      </c>
      <c r="H22" s="36">
        <v>13035986.717759999</v>
      </c>
      <c r="I22" s="36">
        <v>15291867.604836276</v>
      </c>
      <c r="J22" s="36">
        <v>17669817.768113412</v>
      </c>
      <c r="K22" s="36">
        <v>1433892.1708</v>
      </c>
    </row>
    <row r="23" spans="1:11">
      <c r="A23" s="33" t="s">
        <v>102</v>
      </c>
      <c r="B23" s="36">
        <v>418151.15014961758</v>
      </c>
      <c r="C23" s="36">
        <v>477062.15524675179</v>
      </c>
      <c r="D23" s="36">
        <v>114580.23345233868</v>
      </c>
      <c r="E23" s="36">
        <v>488981.38280839717</v>
      </c>
      <c r="F23" s="36">
        <v>589887.75891903555</v>
      </c>
      <c r="G23" s="36">
        <v>414056.74178000004</v>
      </c>
      <c r="H23" s="36">
        <v>465466.93167999998</v>
      </c>
      <c r="I23" s="36">
        <v>486812.70973999996</v>
      </c>
      <c r="J23" s="36">
        <v>105507.45499999999</v>
      </c>
      <c r="K23" s="36"/>
    </row>
    <row r="24" spans="1:11">
      <c r="A24" s="33" t="s">
        <v>103</v>
      </c>
      <c r="B24" s="36">
        <v>1503559.6201049828</v>
      </c>
      <c r="C24" s="36">
        <v>1815498.6870035345</v>
      </c>
      <c r="D24" s="36">
        <v>1929867.6567431935</v>
      </c>
      <c r="E24" s="36">
        <v>2087314.4489031448</v>
      </c>
      <c r="F24" s="36">
        <v>2339768.8466951731</v>
      </c>
      <c r="G24" s="36">
        <v>3449171.4610600001</v>
      </c>
      <c r="H24" s="36">
        <v>3695676.7881599995</v>
      </c>
      <c r="I24" s="36">
        <v>5477205.2553400006</v>
      </c>
      <c r="J24" s="36">
        <v>6487307.2529999996</v>
      </c>
      <c r="K24" s="36">
        <v>325659.00400000002</v>
      </c>
    </row>
    <row r="25" spans="1:11">
      <c r="A25" s="33" t="s">
        <v>104</v>
      </c>
      <c r="B25" s="36">
        <v>3869806.3761030934</v>
      </c>
      <c r="C25" s="36">
        <v>5234421.1746665835</v>
      </c>
      <c r="D25" s="36">
        <v>5892959.7344155908</v>
      </c>
      <c r="E25" s="36">
        <v>5043318.7105122404</v>
      </c>
      <c r="F25" s="36">
        <v>7083829.589219776</v>
      </c>
      <c r="G25" s="36">
        <v>6106276.6426799996</v>
      </c>
      <c r="H25" s="36">
        <v>5141307.7097599991</v>
      </c>
      <c r="I25" s="36">
        <v>4226999.2460777536</v>
      </c>
      <c r="J25" s="36">
        <v>5399259.2478026208</v>
      </c>
      <c r="K25" s="36">
        <v>862067.4561999999</v>
      </c>
    </row>
    <row r="26" spans="1:11">
      <c r="A26" s="33" t="s">
        <v>105</v>
      </c>
      <c r="B26" s="36">
        <v>3960317.6947935098</v>
      </c>
      <c r="C26" s="36">
        <v>3923245.1533731665</v>
      </c>
      <c r="D26" s="36">
        <v>4310321.7462664228</v>
      </c>
      <c r="E26" s="36">
        <v>4398577.190780038</v>
      </c>
      <c r="F26" s="36">
        <v>5657187.9169113589</v>
      </c>
      <c r="G26" s="36">
        <v>6066630.1240999997</v>
      </c>
      <c r="H26" s="36">
        <v>6336432.3414399996</v>
      </c>
      <c r="I26" s="36">
        <v>7168904.5220202953</v>
      </c>
      <c r="J26" s="36">
        <v>9040124.863637343</v>
      </c>
      <c r="K26" s="36">
        <v>945729.30319999997</v>
      </c>
    </row>
    <row r="27" spans="1:11">
      <c r="A27" s="33" t="s">
        <v>106</v>
      </c>
      <c r="B27" s="36">
        <v>5402052.7953502769</v>
      </c>
      <c r="C27" s="36">
        <v>5344138.6462381808</v>
      </c>
      <c r="D27" s="36">
        <v>5285281.432479511</v>
      </c>
      <c r="E27" s="36">
        <v>5159013.5264978996</v>
      </c>
      <c r="F27" s="36">
        <v>6323145.0950636603</v>
      </c>
      <c r="G27" s="36">
        <v>6287323.9515400007</v>
      </c>
      <c r="H27" s="36">
        <v>7264707.2099199994</v>
      </c>
      <c r="I27" s="36">
        <v>8552181.8688560091</v>
      </c>
      <c r="J27" s="36">
        <v>7859622.1596505083</v>
      </c>
      <c r="K27" s="36">
        <v>590158.77800000005</v>
      </c>
    </row>
    <row r="28" spans="1:11">
      <c r="A28" s="33" t="s">
        <v>107</v>
      </c>
      <c r="B28" s="36">
        <v>7046240.7818319406</v>
      </c>
      <c r="C28" s="36">
        <v>7291241.7582965214</v>
      </c>
      <c r="D28" s="36">
        <v>14325726.961119816</v>
      </c>
      <c r="E28" s="36">
        <v>13516184.16526149</v>
      </c>
      <c r="F28" s="36">
        <v>13686427.053516259</v>
      </c>
      <c r="G28" s="36">
        <v>10491345.324599998</v>
      </c>
      <c r="H28" s="36">
        <v>11003674.13136</v>
      </c>
      <c r="I28" s="36">
        <v>13574740.937457208</v>
      </c>
      <c r="J28" s="36">
        <v>15271857.079606745</v>
      </c>
      <c r="K28" s="36">
        <v>1926514.3385999999</v>
      </c>
    </row>
    <row r="29" spans="1:11">
      <c r="A29" s="33" t="s">
        <v>108</v>
      </c>
      <c r="B29" s="36">
        <v>1033820.424048265</v>
      </c>
      <c r="C29" s="36">
        <v>664529.97573027725</v>
      </c>
      <c r="D29" s="36">
        <v>927993.41310510365</v>
      </c>
      <c r="E29" s="36">
        <v>869382.4310984239</v>
      </c>
      <c r="F29" s="36">
        <v>949736.02802175866</v>
      </c>
      <c r="G29" s="36">
        <v>913443.64188000001</v>
      </c>
      <c r="H29" s="36">
        <v>2103074.92368</v>
      </c>
      <c r="I29" s="36">
        <v>1017700.4660600001</v>
      </c>
      <c r="J29" s="36">
        <v>1363104.8432</v>
      </c>
      <c r="K29" s="36">
        <v>17970.75</v>
      </c>
    </row>
    <row r="30" spans="1:11">
      <c r="A30" s="33" t="s">
        <v>109</v>
      </c>
      <c r="B30" s="36">
        <v>3146142.814792308</v>
      </c>
      <c r="C30" s="36">
        <v>3207876.5915867663</v>
      </c>
      <c r="D30" s="36">
        <v>4802513.511701487</v>
      </c>
      <c r="E30" s="36">
        <v>4102959.3104283637</v>
      </c>
      <c r="F30" s="36">
        <v>4833596.6362122968</v>
      </c>
      <c r="G30" s="36">
        <v>4411779.5142200002</v>
      </c>
      <c r="H30" s="36">
        <v>5212809.5318400003</v>
      </c>
      <c r="I30" s="36">
        <v>6004016.6466623656</v>
      </c>
      <c r="J30" s="36">
        <v>6718108.9049864821</v>
      </c>
      <c r="K30" s="36">
        <v>1518089.959</v>
      </c>
    </row>
    <row r="31" spans="1:11">
      <c r="A31" s="33" t="s">
        <v>110</v>
      </c>
      <c r="B31" s="36">
        <v>11310.414307878293</v>
      </c>
      <c r="C31" s="36">
        <v>12014.912377266814</v>
      </c>
      <c r="D31" s="36">
        <v>19463.666679419461</v>
      </c>
      <c r="E31" s="36">
        <v>19455.877442696172</v>
      </c>
      <c r="F31" s="36">
        <v>43553.030509609976</v>
      </c>
      <c r="G31" s="36">
        <v>55096.25740000001</v>
      </c>
      <c r="H31" s="36">
        <v>56406.394079999998</v>
      </c>
      <c r="I31" s="36">
        <v>56161.129980000005</v>
      </c>
      <c r="J31" s="36">
        <v>68215.5</v>
      </c>
      <c r="K31" s="36">
        <v>35778.5</v>
      </c>
    </row>
    <row r="32" spans="1:11">
      <c r="A32" s="33" t="s">
        <v>111</v>
      </c>
      <c r="B32" s="36">
        <v>28699.609274904571</v>
      </c>
      <c r="C32" s="36">
        <v>25915.892184152653</v>
      </c>
      <c r="D32" s="36">
        <v>46904.923492221176</v>
      </c>
      <c r="E32" s="36">
        <v>35251.343504267919</v>
      </c>
      <c r="F32" s="36">
        <v>74048.562939078285</v>
      </c>
      <c r="G32" s="36">
        <v>37294.849779999997</v>
      </c>
      <c r="H32" s="36">
        <v>40275</v>
      </c>
      <c r="I32" s="36">
        <v>41359.83698</v>
      </c>
      <c r="J32" s="36">
        <v>20881.832200000001</v>
      </c>
      <c r="K32" s="36">
        <v>0</v>
      </c>
    </row>
    <row r="33" spans="1:11">
      <c r="A33" s="33"/>
      <c r="B33" s="36"/>
      <c r="C33" s="36"/>
      <c r="D33" s="36"/>
      <c r="E33" s="36"/>
      <c r="F33" s="36"/>
      <c r="G33" s="36"/>
      <c r="H33" s="36"/>
      <c r="I33" s="10"/>
    </row>
    <row r="34" spans="1:11">
      <c r="A34" s="35" t="s">
        <v>112</v>
      </c>
      <c r="B34" s="37">
        <f t="shared" ref="B34:G34" si="0">SUM(B8:B32)</f>
        <v>117944893.00459036</v>
      </c>
      <c r="C34" s="37">
        <f t="shared" si="0"/>
        <v>115901956.10024057</v>
      </c>
      <c r="D34" s="37">
        <f t="shared" si="0"/>
        <v>142114192.39841759</v>
      </c>
      <c r="E34" s="37">
        <f t="shared" si="0"/>
        <v>153333246.43703079</v>
      </c>
      <c r="F34" s="37">
        <f t="shared" si="0"/>
        <v>164714004.27582407</v>
      </c>
      <c r="G34" s="37">
        <f t="shared" si="0"/>
        <v>172438817.46004063</v>
      </c>
      <c r="H34" s="37">
        <f>SUM(H8:H32)</f>
        <v>181115546.38351998</v>
      </c>
      <c r="I34" s="37">
        <f>SUM(I8:I32)</f>
        <v>207782506.65579879</v>
      </c>
      <c r="J34" s="37">
        <f>SUM(J8:J32)</f>
        <v>238439595.45972392</v>
      </c>
      <c r="K34" s="37">
        <f>SUM(K8:K32)</f>
        <v>23334293.236399993</v>
      </c>
    </row>
    <row r="35" spans="1:11">
      <c r="B35" s="10"/>
      <c r="C35" s="10"/>
      <c r="D35" s="10"/>
      <c r="E35" s="216"/>
      <c r="F35" s="216"/>
      <c r="G35" s="216"/>
      <c r="H35" s="216"/>
      <c r="I35" s="216"/>
      <c r="J35" s="216"/>
    </row>
    <row r="37" spans="1:11">
      <c r="I37" s="224"/>
      <c r="J37" s="60"/>
    </row>
    <row r="38" spans="1:11">
      <c r="J38" s="60"/>
    </row>
    <row r="39" spans="1:11">
      <c r="J39" s="60"/>
    </row>
    <row r="41" spans="1:11">
      <c r="A41" s="5" t="s">
        <v>114</v>
      </c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s="53" customFormat="1">
      <c r="A42" s="50" t="s">
        <v>153</v>
      </c>
      <c r="B42" s="56"/>
      <c r="C42" s="56"/>
      <c r="D42" s="56"/>
      <c r="E42" s="56"/>
      <c r="F42" s="56"/>
      <c r="G42" s="56"/>
      <c r="H42" s="56"/>
      <c r="I42" s="56"/>
    </row>
    <row r="43" spans="1:11">
      <c r="A43" s="10" t="s">
        <v>397</v>
      </c>
    </row>
    <row r="44" spans="1:11">
      <c r="A44" s="10" t="s">
        <v>158</v>
      </c>
    </row>
  </sheetData>
  <pageMargins left="0.7" right="0.7" top="0.75" bottom="0.75" header="0.3" footer="0.3"/>
  <pageSetup scale="33" orientation="landscape" r:id="rId1"/>
  <ignoredErrors>
    <ignoredError sqref="B34:J34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I94"/>
  <sheetViews>
    <sheetView zoomScale="130" zoomScaleNormal="130" workbookViewId="0"/>
  </sheetViews>
  <sheetFormatPr baseColWidth="10" defaultRowHeight="15"/>
  <sheetData>
    <row r="2" spans="2:8">
      <c r="B2" s="567" t="s">
        <v>387</v>
      </c>
      <c r="C2" s="567"/>
      <c r="D2" s="567"/>
      <c r="E2" s="567"/>
      <c r="F2" s="567"/>
      <c r="G2" s="567"/>
    </row>
    <row r="3" spans="2:8">
      <c r="B3" s="567" t="s">
        <v>252</v>
      </c>
      <c r="C3" s="567"/>
      <c r="D3" s="567"/>
      <c r="E3" s="567"/>
      <c r="F3" s="567"/>
      <c r="G3" s="567"/>
    </row>
    <row r="5" spans="2:8" ht="33.75">
      <c r="B5" s="200"/>
      <c r="C5" s="201" t="s">
        <v>253</v>
      </c>
      <c r="D5" s="200" t="s">
        <v>254</v>
      </c>
      <c r="E5" s="200" t="s">
        <v>255</v>
      </c>
      <c r="F5" s="202" t="s">
        <v>256</v>
      </c>
      <c r="G5" s="202" t="s">
        <v>257</v>
      </c>
      <c r="H5" s="202" t="s">
        <v>113</v>
      </c>
    </row>
    <row r="8" spans="2:8">
      <c r="B8" s="159">
        <v>2011</v>
      </c>
      <c r="C8" s="160" t="s">
        <v>258</v>
      </c>
      <c r="D8" s="161" t="s">
        <v>259</v>
      </c>
      <c r="E8" s="161">
        <v>74.252005180000012</v>
      </c>
      <c r="F8" s="161" t="s">
        <v>85</v>
      </c>
      <c r="G8" s="162" t="s">
        <v>85</v>
      </c>
      <c r="H8" s="162">
        <f>SUM(D8:G8)</f>
        <v>74.252005180000012</v>
      </c>
    </row>
    <row r="9" spans="2:8">
      <c r="B9" s="163"/>
      <c r="C9" s="164" t="s">
        <v>260</v>
      </c>
      <c r="D9" s="165">
        <v>5.07822101</v>
      </c>
      <c r="E9" s="165">
        <v>70.916692009999991</v>
      </c>
      <c r="F9" s="165">
        <v>5.4546779699999997</v>
      </c>
      <c r="G9" s="166" t="s">
        <v>85</v>
      </c>
      <c r="H9" s="166">
        <f t="shared" ref="H9:H61" si="0">SUM(D9:G9)</f>
        <v>81.44959098999999</v>
      </c>
    </row>
    <row r="10" spans="2:8">
      <c r="B10" s="167"/>
      <c r="C10" s="168" t="s">
        <v>261</v>
      </c>
      <c r="D10" s="169">
        <v>53.582341989999996</v>
      </c>
      <c r="E10" s="169">
        <v>0.95393199000000006</v>
      </c>
      <c r="F10" s="169">
        <v>65.223550990000007</v>
      </c>
      <c r="G10" s="170">
        <v>135.62538000999999</v>
      </c>
      <c r="H10" s="170">
        <f t="shared" si="0"/>
        <v>255.38520498</v>
      </c>
    </row>
    <row r="11" spans="2:8">
      <c r="B11" s="264"/>
      <c r="C11" s="262" t="s">
        <v>113</v>
      </c>
      <c r="D11" s="265">
        <f>SUM(D8:D10)</f>
        <v>58.660562999999996</v>
      </c>
      <c r="E11" s="265">
        <f t="shared" ref="E11:G11" si="1">SUM(E8:E10)</f>
        <v>146.12262917999999</v>
      </c>
      <c r="F11" s="265">
        <f t="shared" si="1"/>
        <v>70.678228960000013</v>
      </c>
      <c r="G11" s="265">
        <f t="shared" si="1"/>
        <v>135.62538000999999</v>
      </c>
      <c r="H11" s="265">
        <f t="shared" si="0"/>
        <v>411.08680114999993</v>
      </c>
    </row>
    <row r="12" spans="2:8">
      <c r="B12" s="159">
        <v>2012</v>
      </c>
      <c r="C12" s="160" t="s">
        <v>262</v>
      </c>
      <c r="D12" s="161">
        <v>62.824097009999996</v>
      </c>
      <c r="E12" s="161">
        <v>4.1418440200000006</v>
      </c>
      <c r="F12" s="161">
        <v>74.358613950000006</v>
      </c>
      <c r="G12" s="162">
        <v>81.362797069999985</v>
      </c>
      <c r="H12" s="162">
        <f t="shared" si="0"/>
        <v>222.68735205000002</v>
      </c>
    </row>
    <row r="13" spans="2:8">
      <c r="B13" s="163"/>
      <c r="C13" s="164" t="s">
        <v>263</v>
      </c>
      <c r="D13" s="165">
        <v>48.167363980000005</v>
      </c>
      <c r="E13" s="165">
        <v>0.10188</v>
      </c>
      <c r="F13" s="165">
        <v>60.340161020000004</v>
      </c>
      <c r="G13" s="166">
        <v>48.651877030000001</v>
      </c>
      <c r="H13" s="166">
        <f t="shared" si="0"/>
        <v>157.26128203000002</v>
      </c>
    </row>
    <row r="14" spans="2:8">
      <c r="B14" s="163"/>
      <c r="C14" s="164" t="s">
        <v>264</v>
      </c>
      <c r="D14" s="165">
        <v>9.1524989899999998</v>
      </c>
      <c r="E14" s="165">
        <v>0.37464199999999998</v>
      </c>
      <c r="F14" s="165">
        <v>9.9011580099999996</v>
      </c>
      <c r="G14" s="166">
        <v>63.045594969999996</v>
      </c>
      <c r="H14" s="166">
        <f t="shared" si="0"/>
        <v>82.473893969999992</v>
      </c>
    </row>
    <row r="15" spans="2:8">
      <c r="B15" s="163"/>
      <c r="C15" s="164" t="s">
        <v>265</v>
      </c>
      <c r="D15" s="165" t="s">
        <v>259</v>
      </c>
      <c r="E15" s="165">
        <v>0.65635500000000002</v>
      </c>
      <c r="F15" s="165" t="s">
        <v>85</v>
      </c>
      <c r="G15" s="166" t="s">
        <v>85</v>
      </c>
      <c r="H15" s="166">
        <f t="shared" si="0"/>
        <v>0.65635500000000002</v>
      </c>
    </row>
    <row r="16" spans="2:8">
      <c r="B16" s="163"/>
      <c r="C16" s="164" t="s">
        <v>266</v>
      </c>
      <c r="D16" s="165">
        <v>39.030414999999998</v>
      </c>
      <c r="E16" s="165">
        <v>1.0892379699999999</v>
      </c>
      <c r="F16" s="165">
        <v>49.080779019999994</v>
      </c>
      <c r="G16" s="166">
        <v>145.60501001</v>
      </c>
      <c r="H16" s="166">
        <f t="shared" si="0"/>
        <v>234.805442</v>
      </c>
    </row>
    <row r="17" spans="2:8">
      <c r="B17" s="163"/>
      <c r="C17" s="164" t="s">
        <v>267</v>
      </c>
      <c r="D17" s="165">
        <v>79.399479990000003</v>
      </c>
      <c r="E17" s="165">
        <v>0.66559897000000001</v>
      </c>
      <c r="F17" s="165">
        <v>102.48355596000002</v>
      </c>
      <c r="G17" s="166">
        <v>107.716645</v>
      </c>
      <c r="H17" s="166">
        <f t="shared" si="0"/>
        <v>290.26527992000001</v>
      </c>
    </row>
    <row r="18" spans="2:8">
      <c r="B18" s="163"/>
      <c r="C18" s="164" t="s">
        <v>268</v>
      </c>
      <c r="D18" s="165" t="s">
        <v>259</v>
      </c>
      <c r="E18" s="165">
        <v>0.35561801999999998</v>
      </c>
      <c r="F18" s="165">
        <v>0.39148200000000005</v>
      </c>
      <c r="G18" s="166" t="s">
        <v>85</v>
      </c>
      <c r="H18" s="166">
        <f t="shared" si="0"/>
        <v>0.74710001999999998</v>
      </c>
    </row>
    <row r="19" spans="2:8">
      <c r="B19" s="163"/>
      <c r="C19" s="164" t="s">
        <v>269</v>
      </c>
      <c r="D19" s="165">
        <v>18.247289000000002</v>
      </c>
      <c r="E19" s="165">
        <v>1.148998</v>
      </c>
      <c r="F19" s="165">
        <v>25.069594939999998</v>
      </c>
      <c r="G19" s="166" t="s">
        <v>85</v>
      </c>
      <c r="H19" s="166">
        <f t="shared" si="0"/>
        <v>44.465881940000003</v>
      </c>
    </row>
    <row r="20" spans="2:8">
      <c r="B20" s="163"/>
      <c r="C20" s="164" t="s">
        <v>270</v>
      </c>
      <c r="D20" s="165">
        <v>96.126011009999985</v>
      </c>
      <c r="E20" s="165">
        <v>1.207028</v>
      </c>
      <c r="F20" s="165">
        <v>124.00815412</v>
      </c>
      <c r="G20" s="166">
        <v>274.66685699999999</v>
      </c>
      <c r="H20" s="166">
        <f t="shared" si="0"/>
        <v>496.00805012999996</v>
      </c>
    </row>
    <row r="21" spans="2:8">
      <c r="B21" s="163"/>
      <c r="C21" s="164" t="s">
        <v>258</v>
      </c>
      <c r="D21" s="165" t="s">
        <v>259</v>
      </c>
      <c r="E21" s="165">
        <v>1.6384880000000002</v>
      </c>
      <c r="F21" s="165" t="s">
        <v>85</v>
      </c>
      <c r="G21" s="166" t="s">
        <v>85</v>
      </c>
      <c r="H21" s="166">
        <f t="shared" si="0"/>
        <v>1.6384880000000002</v>
      </c>
    </row>
    <row r="22" spans="2:8">
      <c r="B22" s="163"/>
      <c r="C22" s="164" t="s">
        <v>260</v>
      </c>
      <c r="D22" s="165">
        <v>37.156631010000005</v>
      </c>
      <c r="E22" s="165">
        <v>1.271609</v>
      </c>
      <c r="F22" s="165">
        <v>54.745559030000003</v>
      </c>
      <c r="G22" s="166" t="s">
        <v>85</v>
      </c>
      <c r="H22" s="166">
        <f t="shared" si="0"/>
        <v>93.173799040000006</v>
      </c>
    </row>
    <row r="23" spans="2:8">
      <c r="B23" s="167"/>
      <c r="C23" s="168" t="s">
        <v>271</v>
      </c>
      <c r="D23" s="169">
        <v>51.55153301</v>
      </c>
      <c r="E23" s="169">
        <v>5.9597000000000004E-2</v>
      </c>
      <c r="F23" s="169">
        <v>71.292634950000007</v>
      </c>
      <c r="G23" s="170">
        <v>220.61931699000002</v>
      </c>
      <c r="H23" s="170">
        <f t="shared" si="0"/>
        <v>343.52308195000001</v>
      </c>
    </row>
    <row r="24" spans="2:8">
      <c r="B24" s="264"/>
      <c r="C24" s="262" t="s">
        <v>113</v>
      </c>
      <c r="D24" s="265">
        <f>SUM(D12:D23)</f>
        <v>441.65531900000008</v>
      </c>
      <c r="E24" s="265">
        <f t="shared" ref="E24:G24" si="2">SUM(E12:E23)</f>
        <v>12.710895980000002</v>
      </c>
      <c r="F24" s="265">
        <f t="shared" si="2"/>
        <v>571.671693</v>
      </c>
      <c r="G24" s="265">
        <f t="shared" si="2"/>
        <v>941.66809807000004</v>
      </c>
      <c r="H24" s="265">
        <f t="shared" si="0"/>
        <v>1967.70600605</v>
      </c>
    </row>
    <row r="25" spans="2:8">
      <c r="B25" s="159">
        <v>2013</v>
      </c>
      <c r="C25" s="160" t="s">
        <v>262</v>
      </c>
      <c r="D25" s="161">
        <v>7.6820100000000004E-3</v>
      </c>
      <c r="E25" s="161">
        <v>1.6654300100000001</v>
      </c>
      <c r="F25" s="161">
        <v>0.67418499999999992</v>
      </c>
      <c r="G25" s="162">
        <v>0</v>
      </c>
      <c r="H25" s="162">
        <f t="shared" si="0"/>
        <v>2.3472970200000001</v>
      </c>
    </row>
    <row r="26" spans="2:8">
      <c r="B26" s="163"/>
      <c r="C26" s="164" t="s">
        <v>263</v>
      </c>
      <c r="D26" s="165">
        <v>21.660934000000001</v>
      </c>
      <c r="E26" s="165">
        <v>2.360214</v>
      </c>
      <c r="F26" s="165">
        <v>33.753632039999999</v>
      </c>
      <c r="G26" s="166">
        <v>5.4566549999999996</v>
      </c>
      <c r="H26" s="166">
        <f t="shared" si="0"/>
        <v>63.231435039999994</v>
      </c>
    </row>
    <row r="27" spans="2:8">
      <c r="B27" s="163"/>
      <c r="C27" s="164" t="s">
        <v>264</v>
      </c>
      <c r="D27" s="165">
        <v>65.725545979999993</v>
      </c>
      <c r="E27" s="165">
        <v>1.359478</v>
      </c>
      <c r="F27" s="165">
        <v>90.361466989999997</v>
      </c>
      <c r="G27" s="166">
        <v>293.31292001999998</v>
      </c>
      <c r="H27" s="166">
        <f t="shared" si="0"/>
        <v>450.75941098999999</v>
      </c>
    </row>
    <row r="28" spans="2:8">
      <c r="B28" s="163"/>
      <c r="C28" s="164" t="s">
        <v>220</v>
      </c>
      <c r="D28" s="165">
        <v>1.3670899599999999</v>
      </c>
      <c r="E28" s="165">
        <v>0.489813</v>
      </c>
      <c r="F28" s="165">
        <v>0.87217999999999996</v>
      </c>
      <c r="G28" s="166">
        <v>1.9000000000000001E-5</v>
      </c>
      <c r="H28" s="166">
        <f t="shared" si="0"/>
        <v>2.7291019599999999</v>
      </c>
    </row>
    <row r="29" spans="2:8">
      <c r="B29" s="163"/>
      <c r="C29" s="164" t="s">
        <v>266</v>
      </c>
      <c r="D29" s="165">
        <v>23.826887970000001</v>
      </c>
      <c r="E29" s="165">
        <v>0.68775702000000005</v>
      </c>
      <c r="F29" s="165">
        <v>34.449959069999998</v>
      </c>
      <c r="G29" s="166">
        <v>132.62300809000001</v>
      </c>
      <c r="H29" s="166">
        <f t="shared" si="0"/>
        <v>191.58761215000001</v>
      </c>
    </row>
    <row r="30" spans="2:8">
      <c r="B30" s="163"/>
      <c r="C30" s="164" t="s">
        <v>267</v>
      </c>
      <c r="D30" s="165">
        <v>73.42502300999999</v>
      </c>
      <c r="E30" s="165">
        <v>0.47390100000000002</v>
      </c>
      <c r="F30" s="165">
        <v>112.57678302000001</v>
      </c>
      <c r="G30" s="166">
        <v>20.224245</v>
      </c>
      <c r="H30" s="166">
        <f t="shared" si="0"/>
        <v>206.69995202999999</v>
      </c>
    </row>
    <row r="31" spans="2:8">
      <c r="B31" s="163"/>
      <c r="C31" s="164" t="s">
        <v>268</v>
      </c>
      <c r="D31" s="165">
        <v>0</v>
      </c>
      <c r="E31" s="165">
        <v>0.63022696999999994</v>
      </c>
      <c r="F31" s="165">
        <v>0.32477</v>
      </c>
      <c r="G31" s="166">
        <v>0</v>
      </c>
      <c r="H31" s="166">
        <f t="shared" si="0"/>
        <v>0.95499696999999995</v>
      </c>
    </row>
    <row r="32" spans="2:8">
      <c r="B32" s="163"/>
      <c r="C32" s="164" t="s">
        <v>272</v>
      </c>
      <c r="D32" s="165">
        <v>25.174167000000001</v>
      </c>
      <c r="E32" s="165">
        <v>0.69820694999999999</v>
      </c>
      <c r="F32" s="165">
        <v>45.54200307</v>
      </c>
      <c r="G32" s="166">
        <v>72.417529980000012</v>
      </c>
      <c r="H32" s="166">
        <f t="shared" si="0"/>
        <v>143.831907</v>
      </c>
    </row>
    <row r="33" spans="2:8">
      <c r="B33" s="163"/>
      <c r="C33" s="164" t="s">
        <v>273</v>
      </c>
      <c r="D33" s="165">
        <v>41.106206010000008</v>
      </c>
      <c r="E33" s="165">
        <v>0.65959699999999999</v>
      </c>
      <c r="F33" s="165">
        <v>60.56780002</v>
      </c>
      <c r="G33" s="166">
        <v>96.463214010000016</v>
      </c>
      <c r="H33" s="166">
        <f t="shared" si="0"/>
        <v>198.79681704000001</v>
      </c>
    </row>
    <row r="34" spans="2:8">
      <c r="B34" s="163"/>
      <c r="C34" s="164" t="s">
        <v>274</v>
      </c>
      <c r="D34" s="165">
        <v>3.9786000000000002E-2</v>
      </c>
      <c r="E34" s="165">
        <v>0.80451007999999991</v>
      </c>
      <c r="F34" s="165">
        <v>1.1600559499999998</v>
      </c>
      <c r="G34" s="166">
        <v>0.2</v>
      </c>
      <c r="H34" s="166">
        <f t="shared" si="0"/>
        <v>2.2043520299999999</v>
      </c>
    </row>
    <row r="35" spans="2:8">
      <c r="B35" s="163"/>
      <c r="C35" s="164" t="s">
        <v>260</v>
      </c>
      <c r="D35" s="165">
        <v>13.09331203</v>
      </c>
      <c r="E35" s="165">
        <v>0.6853490000000001</v>
      </c>
      <c r="F35" s="165">
        <v>20.488748059999999</v>
      </c>
      <c r="G35" s="166">
        <v>178.25462704</v>
      </c>
      <c r="H35" s="166">
        <f t="shared" si="0"/>
        <v>212.52203613</v>
      </c>
    </row>
    <row r="36" spans="2:8">
      <c r="B36" s="167"/>
      <c r="C36" s="168" t="s">
        <v>261</v>
      </c>
      <c r="D36" s="169">
        <v>71.55782400999999</v>
      </c>
      <c r="E36" s="169">
        <v>1.3957080000000002</v>
      </c>
      <c r="F36" s="169">
        <v>104.59380802</v>
      </c>
      <c r="G36" s="170">
        <v>10.52248393</v>
      </c>
      <c r="H36" s="170">
        <f t="shared" si="0"/>
        <v>188.06982395999998</v>
      </c>
    </row>
    <row r="37" spans="2:8">
      <c r="B37" s="264"/>
      <c r="C37" s="262" t="s">
        <v>113</v>
      </c>
      <c r="D37" s="265">
        <f>SUM(D25:D36)</f>
        <v>336.98445797999995</v>
      </c>
      <c r="E37" s="265">
        <f t="shared" ref="E37:G37" si="3">SUM(E25:E36)</f>
        <v>11.910191030000002</v>
      </c>
      <c r="F37" s="265">
        <f t="shared" si="3"/>
        <v>505.36539124000001</v>
      </c>
      <c r="G37" s="265">
        <f t="shared" si="3"/>
        <v>809.47470207000003</v>
      </c>
      <c r="H37" s="265">
        <f t="shared" si="0"/>
        <v>1663.7347423199999</v>
      </c>
    </row>
    <row r="38" spans="2:8">
      <c r="B38" s="159">
        <v>2014</v>
      </c>
      <c r="C38" s="160" t="s">
        <v>262</v>
      </c>
      <c r="D38" s="161" t="s">
        <v>85</v>
      </c>
      <c r="E38" s="161">
        <v>1.3267860900000001</v>
      </c>
      <c r="F38" s="161" t="s">
        <v>85</v>
      </c>
      <c r="G38" s="162" t="s">
        <v>85</v>
      </c>
      <c r="H38" s="162">
        <f t="shared" si="0"/>
        <v>1.3267860900000001</v>
      </c>
    </row>
    <row r="39" spans="2:8">
      <c r="B39" s="163"/>
      <c r="C39" s="164" t="s">
        <v>263</v>
      </c>
      <c r="D39" s="165">
        <v>10.899421019999998</v>
      </c>
      <c r="E39" s="165">
        <v>0.32034800000000002</v>
      </c>
      <c r="F39" s="165">
        <v>15.217180990000001</v>
      </c>
      <c r="G39" s="166">
        <v>55.58428601</v>
      </c>
      <c r="H39" s="166">
        <f t="shared" si="0"/>
        <v>82.021236020000003</v>
      </c>
    </row>
    <row r="40" spans="2:8">
      <c r="B40" s="163"/>
      <c r="C40" s="164" t="s">
        <v>264</v>
      </c>
      <c r="D40" s="165">
        <v>61.024490990000004</v>
      </c>
      <c r="E40" s="165">
        <v>0.82191999999999998</v>
      </c>
      <c r="F40" s="165">
        <v>98.17055302</v>
      </c>
      <c r="G40" s="166">
        <v>182.77540000999997</v>
      </c>
      <c r="H40" s="166">
        <f t="shared" si="0"/>
        <v>342.79236401999998</v>
      </c>
    </row>
    <row r="41" spans="2:8">
      <c r="B41" s="163"/>
      <c r="C41" s="164" t="s">
        <v>265</v>
      </c>
      <c r="D41" s="165">
        <v>3.6859999999999997E-2</v>
      </c>
      <c r="E41" s="165">
        <v>0.92506001000000004</v>
      </c>
      <c r="F41" s="165">
        <v>7.8101000000000004E-2</v>
      </c>
      <c r="G41" s="166">
        <v>3.8099999999999999E-4</v>
      </c>
      <c r="H41" s="166">
        <f t="shared" si="0"/>
        <v>1.04040201</v>
      </c>
    </row>
    <row r="42" spans="2:8">
      <c r="B42" s="163"/>
      <c r="C42" s="164" t="s">
        <v>266</v>
      </c>
      <c r="D42" s="165">
        <v>38.302218000000018</v>
      </c>
      <c r="E42" s="165">
        <v>42.345388</v>
      </c>
      <c r="F42" s="165">
        <v>54.057368050000008</v>
      </c>
      <c r="G42" s="166">
        <v>1.9800000000000002E-4</v>
      </c>
      <c r="H42" s="166">
        <f t="shared" si="0"/>
        <v>134.70517205000004</v>
      </c>
    </row>
    <row r="43" spans="2:8">
      <c r="B43" s="163"/>
      <c r="C43" s="164" t="s">
        <v>267</v>
      </c>
      <c r="D43" s="165">
        <v>64.771010009999998</v>
      </c>
      <c r="E43" s="165">
        <v>10.538568999999999</v>
      </c>
      <c r="F43" s="165">
        <v>88.058616010000009</v>
      </c>
      <c r="G43" s="166">
        <v>101.32263998000001</v>
      </c>
      <c r="H43" s="166">
        <f t="shared" si="0"/>
        <v>264.69083499999999</v>
      </c>
    </row>
    <row r="44" spans="2:8">
      <c r="B44" s="163"/>
      <c r="C44" s="164" t="s">
        <v>268</v>
      </c>
      <c r="D44" s="165" t="s">
        <v>85</v>
      </c>
      <c r="E44" s="165">
        <v>0.33582699999999999</v>
      </c>
      <c r="F44" s="165">
        <v>0.26256699999999999</v>
      </c>
      <c r="G44" s="166">
        <v>2.1699999999999999E-4</v>
      </c>
      <c r="H44" s="166">
        <f t="shared" si="0"/>
        <v>0.598611</v>
      </c>
    </row>
    <row r="45" spans="2:8">
      <c r="B45" s="163"/>
      <c r="C45" s="164" t="s">
        <v>269</v>
      </c>
      <c r="D45" s="165">
        <v>40.871275009999998</v>
      </c>
      <c r="E45" s="165">
        <v>11.906943</v>
      </c>
      <c r="F45" s="165">
        <v>46.515311079999996</v>
      </c>
      <c r="G45" s="166" t="s">
        <v>85</v>
      </c>
      <c r="H45" s="166">
        <f t="shared" si="0"/>
        <v>99.293529089999993</v>
      </c>
    </row>
    <row r="46" spans="2:8">
      <c r="B46" s="163"/>
      <c r="C46" s="164" t="s">
        <v>270</v>
      </c>
      <c r="D46" s="165">
        <v>45.749031000000002</v>
      </c>
      <c r="E46" s="165">
        <v>10.390864029999999</v>
      </c>
      <c r="F46" s="165">
        <v>76.482171969999996</v>
      </c>
      <c r="G46" s="166">
        <v>81.299084989999983</v>
      </c>
      <c r="H46" s="166">
        <f t="shared" si="0"/>
        <v>213.92115199</v>
      </c>
    </row>
    <row r="47" spans="2:8">
      <c r="B47" s="163"/>
      <c r="C47" s="164" t="s">
        <v>258</v>
      </c>
      <c r="D47" s="165" t="s">
        <v>85</v>
      </c>
      <c r="E47" s="165">
        <v>10.64740407</v>
      </c>
      <c r="F47" s="165">
        <v>0.13961199999999999</v>
      </c>
      <c r="G47" s="166">
        <v>1.9000000000000001E-5</v>
      </c>
      <c r="H47" s="166">
        <f t="shared" si="0"/>
        <v>10.78703507</v>
      </c>
    </row>
    <row r="48" spans="2:8">
      <c r="B48" s="163"/>
      <c r="C48" s="164" t="s">
        <v>260</v>
      </c>
      <c r="D48" s="165">
        <v>6.2949449999999993</v>
      </c>
      <c r="E48" s="165">
        <v>10.467304</v>
      </c>
      <c r="F48" s="165">
        <v>11.64411799</v>
      </c>
      <c r="G48" s="166">
        <v>31.104816010000004</v>
      </c>
      <c r="H48" s="166">
        <f t="shared" si="0"/>
        <v>59.511183000000003</v>
      </c>
    </row>
    <row r="49" spans="2:9">
      <c r="B49" s="167"/>
      <c r="C49" s="168" t="s">
        <v>271</v>
      </c>
      <c r="D49" s="169">
        <v>104.50301395999999</v>
      </c>
      <c r="E49" s="169">
        <v>20.614069000000001</v>
      </c>
      <c r="F49" s="169">
        <v>138.34492804000004</v>
      </c>
      <c r="G49" s="170">
        <v>83.019745959999995</v>
      </c>
      <c r="H49" s="170">
        <f t="shared" si="0"/>
        <v>346.48175695999998</v>
      </c>
    </row>
    <row r="50" spans="2:9">
      <c r="B50" s="264"/>
      <c r="C50" s="262" t="s">
        <v>113</v>
      </c>
      <c r="D50" s="265">
        <f>SUM(D38:D49)</f>
        <v>372.45226499</v>
      </c>
      <c r="E50" s="265">
        <f t="shared" ref="E50:G50" si="4">SUM(E38:E49)</f>
        <v>120.64048220000002</v>
      </c>
      <c r="F50" s="265">
        <f t="shared" si="4"/>
        <v>528.97052714999995</v>
      </c>
      <c r="G50" s="265">
        <f t="shared" si="4"/>
        <v>535.10678796000002</v>
      </c>
      <c r="H50" s="265">
        <f t="shared" si="0"/>
        <v>1557.1700622999999</v>
      </c>
    </row>
    <row r="51" spans="2:9">
      <c r="B51" s="159">
        <v>2015</v>
      </c>
      <c r="C51" s="160" t="s">
        <v>262</v>
      </c>
      <c r="D51" s="161" t="s">
        <v>85</v>
      </c>
      <c r="E51" s="161">
        <v>6.7580000000000001E-3</v>
      </c>
      <c r="F51" s="161">
        <v>4.6379999999999998E-3</v>
      </c>
      <c r="G51" s="162" t="s">
        <v>85</v>
      </c>
      <c r="H51" s="162">
        <f t="shared" si="0"/>
        <v>1.1396E-2</v>
      </c>
    </row>
    <row r="52" spans="2:9">
      <c r="B52" s="163"/>
      <c r="C52" s="164" t="s">
        <v>263</v>
      </c>
      <c r="D52" s="165">
        <v>21.104106980000001</v>
      </c>
      <c r="E52" s="165">
        <v>20.560317009999999</v>
      </c>
      <c r="F52" s="165">
        <v>27.443180969999997</v>
      </c>
      <c r="G52" s="166">
        <v>70.524554000000009</v>
      </c>
      <c r="H52" s="166">
        <f t="shared" si="0"/>
        <v>139.63215896000003</v>
      </c>
    </row>
    <row r="53" spans="2:9">
      <c r="B53" s="163"/>
      <c r="C53" s="164" t="s">
        <v>264</v>
      </c>
      <c r="D53" s="165">
        <v>39.545321969999996</v>
      </c>
      <c r="E53" s="165">
        <v>11.567159999999999</v>
      </c>
      <c r="F53" s="165">
        <v>68.441786059999998</v>
      </c>
      <c r="G53" s="166">
        <v>73.175221010000001</v>
      </c>
      <c r="H53" s="166">
        <f t="shared" si="0"/>
        <v>192.72948904</v>
      </c>
      <c r="I53" s="158"/>
    </row>
    <row r="54" spans="2:9">
      <c r="B54" s="163"/>
      <c r="C54" s="164" t="s">
        <v>265</v>
      </c>
      <c r="D54" s="165" t="s">
        <v>85</v>
      </c>
      <c r="E54" s="165">
        <v>16.368392979999999</v>
      </c>
      <c r="F54" s="165" t="s">
        <v>85</v>
      </c>
      <c r="G54" s="166">
        <v>2.0000000000000002E-5</v>
      </c>
      <c r="H54" s="166">
        <f t="shared" si="0"/>
        <v>16.368412979999999</v>
      </c>
      <c r="I54" s="158"/>
    </row>
    <row r="55" spans="2:9">
      <c r="B55" s="163"/>
      <c r="C55" s="164" t="s">
        <v>266</v>
      </c>
      <c r="D55" s="165">
        <v>17.089969980000003</v>
      </c>
      <c r="E55" s="165">
        <v>17.583893009999997</v>
      </c>
      <c r="F55" s="165">
        <v>16.96176904</v>
      </c>
      <c r="G55" s="166">
        <v>48.619993999999998</v>
      </c>
      <c r="H55" s="166">
        <f t="shared" si="0"/>
        <v>100.25562603</v>
      </c>
      <c r="I55" s="158"/>
    </row>
    <row r="56" spans="2:9">
      <c r="B56" s="163"/>
      <c r="C56" s="164" t="s">
        <v>267</v>
      </c>
      <c r="D56" s="165">
        <v>32.906866999999998</v>
      </c>
      <c r="E56" s="165">
        <v>19.527011039999998</v>
      </c>
      <c r="F56" s="165">
        <v>63.153355050000002</v>
      </c>
      <c r="G56" s="166">
        <v>1.2717000000000001E-2</v>
      </c>
      <c r="H56" s="166">
        <f t="shared" si="0"/>
        <v>115.59995008999999</v>
      </c>
      <c r="I56" s="158"/>
    </row>
    <row r="57" spans="2:9">
      <c r="B57" s="163"/>
      <c r="C57" s="164" t="s">
        <v>268</v>
      </c>
      <c r="D57" s="165">
        <v>4.5823999999999997E-2</v>
      </c>
      <c r="E57" s="165">
        <v>21.45757699</v>
      </c>
      <c r="F57" s="165">
        <v>0.34621499999999999</v>
      </c>
      <c r="G57" s="166">
        <v>5.2659999999999998E-3</v>
      </c>
      <c r="H57" s="166">
        <f t="shared" si="0"/>
        <v>21.854881989999999</v>
      </c>
      <c r="I57" s="158"/>
    </row>
    <row r="58" spans="2:9">
      <c r="B58" s="163"/>
      <c r="C58" s="164" t="s">
        <v>272</v>
      </c>
      <c r="D58" s="165">
        <v>22.478963090000001</v>
      </c>
      <c r="E58" s="165">
        <v>17.745928980000002</v>
      </c>
      <c r="F58" s="165">
        <v>24.046518980000002</v>
      </c>
      <c r="G58" s="166">
        <v>28.710903979999998</v>
      </c>
      <c r="H58" s="166">
        <f t="shared" si="0"/>
        <v>92.982315030000009</v>
      </c>
      <c r="I58" s="158"/>
    </row>
    <row r="59" spans="2:9">
      <c r="B59" s="163"/>
      <c r="C59" s="164" t="s">
        <v>282</v>
      </c>
      <c r="D59" s="165">
        <v>34.952205970000001</v>
      </c>
      <c r="E59" s="165">
        <v>25.846466009999997</v>
      </c>
      <c r="F59" s="165">
        <v>69.470865990000007</v>
      </c>
      <c r="G59" s="166">
        <v>63.415780930000004</v>
      </c>
      <c r="H59" s="166">
        <f t="shared" si="0"/>
        <v>193.6853189</v>
      </c>
      <c r="I59" s="158"/>
    </row>
    <row r="60" spans="2:9">
      <c r="B60" s="163"/>
      <c r="C60" s="164" t="s">
        <v>274</v>
      </c>
      <c r="D60" s="165">
        <v>0.65587099000000004</v>
      </c>
      <c r="E60" s="165">
        <v>8.1258590000000002</v>
      </c>
      <c r="F60" s="165">
        <v>0.90228700000000006</v>
      </c>
      <c r="G60" s="166" t="s">
        <v>85</v>
      </c>
      <c r="H60" s="166">
        <f t="shared" si="0"/>
        <v>9.6840169899999999</v>
      </c>
      <c r="I60" s="158"/>
    </row>
    <row r="61" spans="2:9">
      <c r="B61" s="163"/>
      <c r="C61" s="164" t="s">
        <v>260</v>
      </c>
      <c r="D61" s="165">
        <v>3.9933909999999999</v>
      </c>
      <c r="E61" s="165">
        <v>24.51756</v>
      </c>
      <c r="F61" s="165">
        <v>22.891978910000002</v>
      </c>
      <c r="G61" s="166">
        <v>13.276207990000001</v>
      </c>
      <c r="H61" s="166">
        <f t="shared" si="0"/>
        <v>64.679137900000001</v>
      </c>
      <c r="I61" s="158"/>
    </row>
    <row r="62" spans="2:9">
      <c r="B62" s="167"/>
      <c r="C62" s="168" t="s">
        <v>271</v>
      </c>
      <c r="D62" s="169">
        <v>35.403344019999999</v>
      </c>
      <c r="E62" s="169">
        <v>15.398918</v>
      </c>
      <c r="F62" s="169">
        <v>58.496908980000008</v>
      </c>
      <c r="G62" s="170">
        <v>46.422501979999993</v>
      </c>
      <c r="H62" s="170">
        <f>SUM(D62:G62)</f>
        <v>155.72167297999999</v>
      </c>
      <c r="I62" s="158"/>
    </row>
    <row r="63" spans="2:9">
      <c r="B63" s="261"/>
      <c r="C63" s="262" t="s">
        <v>113</v>
      </c>
      <c r="D63" s="263">
        <f>SUM(D51:D62)</f>
        <v>208.17586499999999</v>
      </c>
      <c r="E63" s="263">
        <f t="shared" ref="E63:G63" si="5">SUM(E51:E62)</f>
        <v>198.70584102000001</v>
      </c>
      <c r="F63" s="263">
        <f t="shared" si="5"/>
        <v>352.15950397999995</v>
      </c>
      <c r="G63" s="263">
        <f t="shared" si="5"/>
        <v>344.16316688999996</v>
      </c>
      <c r="H63" s="263">
        <f>SUM(H51:H62)</f>
        <v>1103.20437689</v>
      </c>
    </row>
    <row r="64" spans="2:9">
      <c r="B64" s="159">
        <v>2016</v>
      </c>
      <c r="C64" s="160" t="s">
        <v>262</v>
      </c>
      <c r="D64" s="161">
        <v>1.376401E-2</v>
      </c>
      <c r="E64" s="161">
        <v>14.001267029999999</v>
      </c>
      <c r="F64" s="161">
        <v>1.0660019999999999</v>
      </c>
      <c r="G64" s="162">
        <v>4.2499999999999998E-4</v>
      </c>
      <c r="H64" s="166">
        <f t="shared" ref="H64:H67" si="6">SUM(D64:G64)</f>
        <v>15.081458039999998</v>
      </c>
    </row>
    <row r="65" spans="2:8">
      <c r="B65" s="163"/>
      <c r="C65" s="164" t="s">
        <v>263</v>
      </c>
      <c r="D65" s="165">
        <v>5.1839040400000007</v>
      </c>
      <c r="E65" s="165">
        <v>1.8508910000000001</v>
      </c>
      <c r="F65" s="165">
        <v>27.817612949999997</v>
      </c>
      <c r="G65" s="166">
        <v>5.931448969999999</v>
      </c>
      <c r="H65" s="166">
        <f t="shared" si="6"/>
        <v>40.783856959999994</v>
      </c>
    </row>
    <row r="66" spans="2:8">
      <c r="B66" s="163"/>
      <c r="C66" s="164" t="s">
        <v>264</v>
      </c>
      <c r="D66" s="165">
        <v>29.740412020000001</v>
      </c>
      <c r="E66" s="165">
        <v>12.69303</v>
      </c>
      <c r="F66" s="165">
        <v>67.868325979999995</v>
      </c>
      <c r="G66" s="166">
        <v>54.457932</v>
      </c>
      <c r="H66" s="166">
        <f t="shared" si="6"/>
        <v>164.75970000000001</v>
      </c>
    </row>
    <row r="67" spans="2:8">
      <c r="B67" s="163"/>
      <c r="C67" s="164" t="s">
        <v>265</v>
      </c>
      <c r="D67" s="165" t="s">
        <v>85</v>
      </c>
      <c r="E67" s="165">
        <v>6.7270079800000007</v>
      </c>
      <c r="F67" s="165">
        <v>0.33634199999999997</v>
      </c>
      <c r="G67" s="166" t="s">
        <v>85</v>
      </c>
      <c r="H67" s="166">
        <f t="shared" si="6"/>
        <v>7.0633499800000008</v>
      </c>
    </row>
    <row r="68" spans="2:8">
      <c r="B68" s="163"/>
      <c r="C68" s="164" t="s">
        <v>266</v>
      </c>
      <c r="D68" s="165">
        <v>14.202285009999999</v>
      </c>
      <c r="E68" s="165">
        <v>17.326237039999999</v>
      </c>
      <c r="F68" s="165">
        <v>35.276917049999994</v>
      </c>
      <c r="G68" s="166">
        <v>8.4021020000000011</v>
      </c>
      <c r="H68" s="166">
        <f t="shared" ref="H68:H73" si="7">SUM(D68:G68)</f>
        <v>75.2075411</v>
      </c>
    </row>
    <row r="69" spans="2:8" ht="13.9" customHeight="1">
      <c r="B69" s="163"/>
      <c r="C69" s="164" t="s">
        <v>267</v>
      </c>
      <c r="D69" s="165">
        <v>34.191086000000006</v>
      </c>
      <c r="E69" s="165">
        <v>16.941938990000004</v>
      </c>
      <c r="F69" s="165">
        <v>70.099692960000013</v>
      </c>
      <c r="G69" s="166">
        <v>4.0374099999999995</v>
      </c>
      <c r="H69" s="166">
        <f t="shared" si="7"/>
        <v>125.27012795000002</v>
      </c>
    </row>
    <row r="70" spans="2:8">
      <c r="B70" s="163"/>
      <c r="C70" s="164" t="s">
        <v>268</v>
      </c>
      <c r="D70" s="165" t="s">
        <v>85</v>
      </c>
      <c r="E70" s="165">
        <v>8.5411700499999998</v>
      </c>
      <c r="F70" s="165" t="s">
        <v>85</v>
      </c>
      <c r="G70" s="166">
        <v>2.0000000000000002E-5</v>
      </c>
      <c r="H70" s="166">
        <f t="shared" si="7"/>
        <v>8.5411900499999991</v>
      </c>
    </row>
    <row r="71" spans="2:8">
      <c r="B71" s="163"/>
      <c r="C71" s="164" t="s">
        <v>272</v>
      </c>
      <c r="D71" s="165">
        <v>29.751061050000001</v>
      </c>
      <c r="E71" s="165">
        <v>19.108841000000002</v>
      </c>
      <c r="F71" s="165">
        <v>46.702360999999996</v>
      </c>
      <c r="G71" s="166">
        <v>6.2599240199999997</v>
      </c>
      <c r="H71" s="166">
        <f t="shared" si="7"/>
        <v>101.82218707</v>
      </c>
    </row>
    <row r="72" spans="2:8" s="279" customFormat="1">
      <c r="B72" s="163"/>
      <c r="C72" s="164" t="s">
        <v>357</v>
      </c>
      <c r="D72" s="165">
        <v>34.012697000000003</v>
      </c>
      <c r="E72" s="165">
        <v>40.359092960000005</v>
      </c>
      <c r="F72" s="165">
        <v>110.10975304000002</v>
      </c>
      <c r="G72" s="166">
        <v>6.5678010000000002</v>
      </c>
      <c r="H72" s="166">
        <f t="shared" si="7"/>
        <v>191.04934400000002</v>
      </c>
    </row>
    <row r="73" spans="2:8" s="276" customFormat="1">
      <c r="B73" s="163"/>
      <c r="C73" s="164" t="s">
        <v>274</v>
      </c>
      <c r="D73" s="165" t="s">
        <v>85</v>
      </c>
      <c r="E73" s="165">
        <v>18.577441060000002</v>
      </c>
      <c r="F73" s="165">
        <v>0.412051</v>
      </c>
      <c r="G73" s="166" t="s">
        <v>85</v>
      </c>
      <c r="H73" s="166">
        <f t="shared" si="7"/>
        <v>18.989492060000003</v>
      </c>
    </row>
    <row r="74" spans="2:8" s="291" customFormat="1">
      <c r="B74" s="163"/>
      <c r="C74" s="164" t="s">
        <v>260</v>
      </c>
      <c r="D74" s="165">
        <v>22.671478</v>
      </c>
      <c r="E74" s="165">
        <v>16.640420979999998</v>
      </c>
      <c r="F74" s="165">
        <v>43.419377040000001</v>
      </c>
      <c r="G74" s="166">
        <v>4.0992090000000001</v>
      </c>
      <c r="H74" s="166">
        <f t="shared" ref="H74:H75" si="8">SUM(D74:G74)</f>
        <v>86.830485019999998</v>
      </c>
    </row>
    <row r="75" spans="2:8" s="291" customFormat="1">
      <c r="B75" s="163"/>
      <c r="C75" s="164" t="s">
        <v>271</v>
      </c>
      <c r="D75" s="165">
        <v>66.662418029999998</v>
      </c>
      <c r="E75" s="165">
        <v>32.99460697</v>
      </c>
      <c r="F75" s="165">
        <v>116.46721398999999</v>
      </c>
      <c r="G75" s="166">
        <v>11.746722999999999</v>
      </c>
      <c r="H75" s="166">
        <f t="shared" si="8"/>
        <v>227.87096198999998</v>
      </c>
    </row>
    <row r="76" spans="2:8">
      <c r="B76" s="258"/>
      <c r="C76" s="259" t="s">
        <v>113</v>
      </c>
      <c r="D76" s="260">
        <f>SUM(D64:D75)</f>
        <v>236.42910516000001</v>
      </c>
      <c r="E76" s="260">
        <f>SUM(E64:E75)</f>
        <v>205.76194506000002</v>
      </c>
      <c r="F76" s="260">
        <f>SUM(F64:F75)</f>
        <v>519.57564901000001</v>
      </c>
      <c r="G76" s="260">
        <f>SUM(G64:G75)</f>
        <v>101.50299499</v>
      </c>
      <c r="H76" s="260">
        <f>SUM(H64:H75)</f>
        <v>1063.26969422</v>
      </c>
    </row>
    <row r="77" spans="2:8">
      <c r="B77" s="159">
        <v>2017</v>
      </c>
      <c r="C77" s="160" t="s">
        <v>262</v>
      </c>
      <c r="D77" s="161" t="s">
        <v>85</v>
      </c>
      <c r="E77" s="161">
        <v>23.579535010000001</v>
      </c>
      <c r="F77" s="161">
        <v>0.10778700000000001</v>
      </c>
      <c r="G77" s="162" t="s">
        <v>85</v>
      </c>
      <c r="H77" s="166">
        <f t="shared" ref="H77:H81" si="9">SUM(D77:G77)</f>
        <v>23.687322009999999</v>
      </c>
    </row>
    <row r="78" spans="2:8" s="291" customFormat="1">
      <c r="B78" s="163"/>
      <c r="C78" s="164" t="s">
        <v>263</v>
      </c>
      <c r="D78" s="165">
        <v>23.927438019999997</v>
      </c>
      <c r="E78" s="165">
        <v>14.150867060000001</v>
      </c>
      <c r="F78" s="165">
        <v>36.297165070000005</v>
      </c>
      <c r="G78" s="166">
        <v>3.716189</v>
      </c>
      <c r="H78" s="166">
        <f t="shared" si="9"/>
        <v>78.091659150000012</v>
      </c>
    </row>
    <row r="79" spans="2:8" s="291" customFormat="1">
      <c r="B79" s="163"/>
      <c r="C79" s="164" t="s">
        <v>264</v>
      </c>
      <c r="D79" s="165">
        <v>103.44074098</v>
      </c>
      <c r="E79" s="165">
        <v>19.484278009999997</v>
      </c>
      <c r="F79" s="165">
        <v>142.27080000999999</v>
      </c>
      <c r="G79" s="166">
        <v>11.723566999999999</v>
      </c>
      <c r="H79" s="166">
        <f t="shared" si="9"/>
        <v>276.91938599999997</v>
      </c>
    </row>
    <row r="80" spans="2:8" s="291" customFormat="1">
      <c r="B80" s="163"/>
      <c r="C80" s="164" t="s">
        <v>265</v>
      </c>
      <c r="D80" s="165" t="s">
        <v>85</v>
      </c>
      <c r="E80" s="165">
        <v>19.206987939999998</v>
      </c>
      <c r="F80" s="165">
        <v>5.8699999999999996E-4</v>
      </c>
      <c r="G80" s="166">
        <v>2.1000000000000002E-5</v>
      </c>
      <c r="H80" s="166">
        <f t="shared" si="9"/>
        <v>19.207595939999997</v>
      </c>
    </row>
    <row r="81" spans="2:9" s="291" customFormat="1">
      <c r="B81" s="163"/>
      <c r="C81" s="164" t="s">
        <v>266</v>
      </c>
      <c r="D81" s="165">
        <v>72.041577029999999</v>
      </c>
      <c r="E81" s="165">
        <v>22.194449049999996</v>
      </c>
      <c r="F81" s="165">
        <v>75.500301989999997</v>
      </c>
      <c r="G81" s="166">
        <v>3.9121709999999998</v>
      </c>
      <c r="H81" s="166">
        <f t="shared" si="9"/>
        <v>173.64849906999999</v>
      </c>
    </row>
    <row r="82" spans="2:9" s="291" customFormat="1" ht="13.9" customHeight="1">
      <c r="B82" s="163"/>
      <c r="C82" s="164" t="s">
        <v>267</v>
      </c>
      <c r="D82" s="165"/>
      <c r="E82" s="165"/>
      <c r="F82" s="165"/>
      <c r="G82" s="166"/>
      <c r="H82" s="166"/>
    </row>
    <row r="83" spans="2:9" s="291" customFormat="1">
      <c r="B83" s="163"/>
      <c r="C83" s="164" t="s">
        <v>268</v>
      </c>
      <c r="D83" s="165"/>
      <c r="E83" s="165"/>
      <c r="F83" s="165"/>
      <c r="G83" s="166"/>
      <c r="H83" s="166"/>
    </row>
    <row r="84" spans="2:9" s="291" customFormat="1">
      <c r="B84" s="163"/>
      <c r="C84" s="164" t="s">
        <v>272</v>
      </c>
      <c r="D84" s="165"/>
      <c r="E84" s="165"/>
      <c r="F84" s="165"/>
      <c r="G84" s="166"/>
      <c r="H84" s="166"/>
    </row>
    <row r="85" spans="2:9" s="291" customFormat="1">
      <c r="B85" s="163"/>
      <c r="C85" s="164" t="s">
        <v>357</v>
      </c>
      <c r="D85" s="165"/>
      <c r="E85" s="165"/>
      <c r="F85" s="165"/>
      <c r="G85" s="166"/>
      <c r="H85" s="166"/>
    </row>
    <row r="86" spans="2:9" s="291" customFormat="1">
      <c r="B86" s="163"/>
      <c r="C86" s="164" t="s">
        <v>274</v>
      </c>
      <c r="D86" s="165"/>
      <c r="E86" s="165"/>
      <c r="F86" s="165"/>
      <c r="G86" s="166"/>
      <c r="H86" s="166"/>
    </row>
    <row r="87" spans="2:9" s="291" customFormat="1">
      <c r="B87" s="163"/>
      <c r="C87" s="164" t="s">
        <v>260</v>
      </c>
      <c r="D87" s="165"/>
      <c r="E87" s="165"/>
      <c r="F87" s="165"/>
      <c r="G87" s="166"/>
      <c r="H87" s="166"/>
    </row>
    <row r="88" spans="2:9" s="291" customFormat="1">
      <c r="B88" s="163"/>
      <c r="C88" s="164" t="s">
        <v>271</v>
      </c>
      <c r="D88" s="165"/>
      <c r="E88" s="165"/>
      <c r="F88" s="165"/>
      <c r="G88" s="166"/>
      <c r="H88" s="166"/>
    </row>
    <row r="89" spans="2:9" s="291" customFormat="1">
      <c r="B89" s="258"/>
      <c r="C89" s="259" t="s">
        <v>113</v>
      </c>
      <c r="D89" s="260">
        <f>SUM(D77:D88)</f>
        <v>199.40975602999998</v>
      </c>
      <c r="E89" s="260">
        <f>SUM(E77:E88)</f>
        <v>98.616117070000001</v>
      </c>
      <c r="F89" s="260">
        <f>SUM(F77:F88)</f>
        <v>254.17664106999999</v>
      </c>
      <c r="G89" s="260">
        <f>SUM(G77:G88)</f>
        <v>19.351948</v>
      </c>
      <c r="H89" s="260">
        <f>SUM(H77:H88)</f>
        <v>571.55446216999997</v>
      </c>
    </row>
    <row r="90" spans="2:9" ht="15.75" thickBot="1"/>
    <row r="91" spans="2:9" ht="15.75" thickBot="1">
      <c r="B91" s="250" t="s">
        <v>276</v>
      </c>
      <c r="C91" s="251"/>
      <c r="D91" s="252">
        <f>D11+D24+D37+D50+D63+D76+D89</f>
        <v>1853.7673311599999</v>
      </c>
      <c r="E91" s="252">
        <f>E11+E24+E37+E50+E63+E76+E89</f>
        <v>794.46810154000002</v>
      </c>
      <c r="F91" s="252">
        <f>F11+F24+F37+F50+F63+F76+F89</f>
        <v>2802.59763441</v>
      </c>
      <c r="G91" s="252">
        <f>G11+G24+G37+G50+G63+G76+G89</f>
        <v>2886.8930779900002</v>
      </c>
      <c r="H91" s="252">
        <f>H11+H24+H37+H50+H63+H76+H89</f>
        <v>8337.7261450999995</v>
      </c>
    </row>
    <row r="92" spans="2:9">
      <c r="C92" s="164"/>
      <c r="D92" s="165"/>
      <c r="E92" s="165"/>
      <c r="F92" s="165"/>
      <c r="G92" s="165"/>
      <c r="H92" s="165"/>
    </row>
    <row r="94" spans="2:9">
      <c r="B94" s="173" t="s">
        <v>275</v>
      </c>
      <c r="C94" s="172"/>
      <c r="D94" s="171"/>
      <c r="E94" s="171"/>
      <c r="F94" s="171"/>
      <c r="G94" s="171"/>
      <c r="H94" s="171"/>
      <c r="I94" s="158"/>
    </row>
  </sheetData>
  <mergeCells count="2">
    <mergeCell ref="B3:G3"/>
    <mergeCell ref="B2:G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0"/>
  </sheetPr>
  <dimension ref="A1:L75"/>
  <sheetViews>
    <sheetView zoomScaleNormal="100" workbookViewId="0"/>
  </sheetViews>
  <sheetFormatPr baseColWidth="10" defaultColWidth="11.5703125" defaultRowHeight="15"/>
  <cols>
    <col min="1" max="1" width="9.42578125" style="2" customWidth="1"/>
    <col min="2" max="2" width="37.7109375" style="2" customWidth="1"/>
    <col min="3" max="4" width="15.7109375" style="39" customWidth="1"/>
    <col min="5" max="5" width="15.7109375" style="2" customWidth="1"/>
    <col min="6" max="6" width="17" style="2" customWidth="1"/>
    <col min="7" max="7" width="9.140625" style="2" customWidth="1"/>
    <col min="8" max="16384" width="11.5703125" style="2"/>
  </cols>
  <sheetData>
    <row r="1" spans="1:8">
      <c r="A1" s="1" t="s">
        <v>236</v>
      </c>
    </row>
    <row r="2" spans="1:8">
      <c r="A2" s="1" t="s">
        <v>699</v>
      </c>
    </row>
    <row r="4" spans="1:8" s="78" customFormat="1" ht="12.75">
      <c r="A4" s="189" t="s">
        <v>155</v>
      </c>
      <c r="B4" s="189" t="s">
        <v>125</v>
      </c>
      <c r="C4" s="190" t="s">
        <v>126</v>
      </c>
      <c r="D4" s="190" t="s">
        <v>127</v>
      </c>
      <c r="E4" s="191" t="s">
        <v>128</v>
      </c>
    </row>
    <row r="5" spans="1:8" ht="7.9" customHeight="1">
      <c r="A5" s="43"/>
      <c r="B5" s="43"/>
      <c r="C5" s="44"/>
      <c r="D5" s="44"/>
      <c r="E5" s="43"/>
    </row>
    <row r="6" spans="1:8">
      <c r="A6" s="174" t="s">
        <v>129</v>
      </c>
      <c r="B6" s="2" t="s">
        <v>333</v>
      </c>
      <c r="C6" s="39">
        <v>261</v>
      </c>
      <c r="D6" s="39">
        <v>23920953</v>
      </c>
      <c r="E6" s="38">
        <f t="shared" ref="E6:E17" si="0">D6/F6</f>
        <v>0.18612404798074347</v>
      </c>
      <c r="F6" s="105">
        <v>128521560</v>
      </c>
      <c r="H6" s="294"/>
    </row>
    <row r="7" spans="1:8">
      <c r="A7" s="174">
        <v>2</v>
      </c>
      <c r="B7" s="2" t="s">
        <v>334</v>
      </c>
      <c r="C7" s="39">
        <v>54</v>
      </c>
      <c r="D7" s="39">
        <v>16580666</v>
      </c>
      <c r="E7" s="38">
        <f t="shared" si="0"/>
        <v>0.12901077453463838</v>
      </c>
      <c r="F7" s="105">
        <v>128521560</v>
      </c>
    </row>
    <row r="8" spans="1:8">
      <c r="A8" s="174" t="s">
        <v>130</v>
      </c>
      <c r="B8" s="2" t="s">
        <v>335</v>
      </c>
      <c r="C8" s="39">
        <v>66</v>
      </c>
      <c r="D8" s="39">
        <v>15452992</v>
      </c>
      <c r="E8" s="38">
        <f t="shared" si="0"/>
        <v>0.12023657353676691</v>
      </c>
      <c r="F8" s="105">
        <v>128521560</v>
      </c>
      <c r="H8" s="294"/>
    </row>
    <row r="9" spans="1:8">
      <c r="A9" s="174" t="s">
        <v>131</v>
      </c>
      <c r="B9" s="2" t="s">
        <v>132</v>
      </c>
      <c r="C9" s="39">
        <v>15</v>
      </c>
      <c r="D9" s="39">
        <v>14811259</v>
      </c>
      <c r="E9" s="38">
        <f t="shared" si="0"/>
        <v>0.11524338017683571</v>
      </c>
      <c r="F9" s="105">
        <v>128521560</v>
      </c>
      <c r="H9" s="294"/>
    </row>
    <row r="10" spans="1:8">
      <c r="A10" s="174" t="s">
        <v>133</v>
      </c>
      <c r="B10" s="2" t="s">
        <v>336</v>
      </c>
      <c r="C10" s="39">
        <v>9081</v>
      </c>
      <c r="D10" s="39">
        <v>5846332</v>
      </c>
      <c r="E10" s="38">
        <f t="shared" si="0"/>
        <v>4.5489114822446913E-2</v>
      </c>
      <c r="F10" s="105">
        <v>128521560</v>
      </c>
      <c r="H10" s="294"/>
    </row>
    <row r="11" spans="1:8">
      <c r="A11" s="174" t="s">
        <v>134</v>
      </c>
      <c r="B11" s="2" t="s">
        <v>337</v>
      </c>
      <c r="C11" s="39">
        <v>61</v>
      </c>
      <c r="D11" s="39">
        <v>4156521</v>
      </c>
      <c r="E11" s="38">
        <f t="shared" si="0"/>
        <v>3.2341040678311096E-2</v>
      </c>
      <c r="F11" s="105">
        <v>128521560</v>
      </c>
      <c r="H11" s="294"/>
    </row>
    <row r="12" spans="1:8">
      <c r="A12" s="174" t="s">
        <v>135</v>
      </c>
      <c r="B12" s="2" t="s">
        <v>398</v>
      </c>
      <c r="C12" s="39">
        <v>9</v>
      </c>
      <c r="D12" s="39">
        <v>459328</v>
      </c>
      <c r="E12" s="38">
        <f t="shared" si="0"/>
        <v>3.5739373222671744E-3</v>
      </c>
      <c r="F12" s="105">
        <v>128521560</v>
      </c>
      <c r="H12" s="294"/>
    </row>
    <row r="13" spans="1:8">
      <c r="A13" s="174" t="s">
        <v>136</v>
      </c>
      <c r="B13" s="2" t="s">
        <v>399</v>
      </c>
      <c r="C13" s="39">
        <v>45</v>
      </c>
      <c r="D13" s="39">
        <v>380000</v>
      </c>
      <c r="E13" s="38">
        <f t="shared" si="0"/>
        <v>2.9567023618449696E-3</v>
      </c>
      <c r="F13" s="105">
        <v>128521560</v>
      </c>
      <c r="H13" s="294"/>
    </row>
    <row r="14" spans="1:8">
      <c r="A14" s="174" t="s">
        <v>137</v>
      </c>
      <c r="B14" s="2" t="s">
        <v>338</v>
      </c>
      <c r="C14" s="39">
        <v>2</v>
      </c>
      <c r="D14" s="39">
        <v>357267.82</v>
      </c>
      <c r="E14" s="38">
        <f t="shared" si="0"/>
        <v>2.7798279136979041E-3</v>
      </c>
      <c r="F14" s="105">
        <v>128521560</v>
      </c>
      <c r="H14" s="294"/>
    </row>
    <row r="15" spans="1:8">
      <c r="A15" s="174" t="s">
        <v>138</v>
      </c>
      <c r="B15" s="2" t="s">
        <v>339</v>
      </c>
      <c r="C15" s="39">
        <v>2099</v>
      </c>
      <c r="D15" s="39">
        <v>354882</v>
      </c>
      <c r="E15" s="38">
        <f t="shared" si="0"/>
        <v>2.7612643357270172E-3</v>
      </c>
      <c r="F15" s="105">
        <v>128521560</v>
      </c>
      <c r="H15" s="294"/>
    </row>
    <row r="16" spans="1:8">
      <c r="A16" s="2" t="s">
        <v>332</v>
      </c>
      <c r="B16" s="2" t="s">
        <v>340</v>
      </c>
      <c r="C16" s="39">
        <v>6</v>
      </c>
      <c r="D16" s="39">
        <v>223665</v>
      </c>
      <c r="E16" s="225">
        <f t="shared" si="0"/>
        <v>1.740291667794882E-3</v>
      </c>
      <c r="F16" s="105">
        <v>128521560</v>
      </c>
      <c r="H16" s="294"/>
    </row>
    <row r="17" spans="1:12">
      <c r="A17" s="174">
        <v>12</v>
      </c>
      <c r="B17" s="2" t="s">
        <v>139</v>
      </c>
      <c r="C17" s="39">
        <v>20</v>
      </c>
      <c r="D17" s="39">
        <v>4188.8599999999997</v>
      </c>
      <c r="E17" s="225">
        <f t="shared" si="0"/>
        <v>3.2592663830099786E-5</v>
      </c>
      <c r="F17" s="105">
        <v>128521560</v>
      </c>
    </row>
    <row r="19" spans="1:12">
      <c r="A19" s="40" t="s">
        <v>113</v>
      </c>
      <c r="B19" s="40"/>
      <c r="C19" s="41">
        <f>SUM(C6:C17)</f>
        <v>11719</v>
      </c>
      <c r="D19" s="41">
        <f>SUM(D6:D17)</f>
        <v>82548054.679999992</v>
      </c>
      <c r="E19" s="42">
        <f>D19/F19</f>
        <v>0.64228954799490445</v>
      </c>
      <c r="F19" s="105">
        <v>128521560</v>
      </c>
      <c r="H19" s="294"/>
    </row>
    <row r="21" spans="1:12" s="10" customFormat="1" ht="12">
      <c r="A21" s="5" t="s">
        <v>287</v>
      </c>
      <c r="B21" s="9"/>
      <c r="C21" s="9"/>
      <c r="D21" s="9"/>
      <c r="E21" s="9"/>
      <c r="F21" s="9"/>
    </row>
    <row r="22" spans="1:12" s="53" customFormat="1" ht="12">
      <c r="A22" s="50"/>
      <c r="B22" s="56"/>
      <c r="C22" s="56"/>
      <c r="D22" s="56"/>
      <c r="E22" s="56"/>
      <c r="F22" s="56"/>
    </row>
    <row r="27" spans="1:12">
      <c r="A27" s="15" t="s">
        <v>700</v>
      </c>
    </row>
    <row r="28" spans="1:12">
      <c r="J28" s="557"/>
      <c r="K28" s="557"/>
      <c r="L28" s="557"/>
    </row>
    <row r="29" spans="1:12" ht="15.75">
      <c r="A29" s="205" t="s">
        <v>237</v>
      </c>
      <c r="B29" s="188" t="s">
        <v>238</v>
      </c>
      <c r="C29" s="333" t="s">
        <v>239</v>
      </c>
      <c r="D29" s="333" t="s">
        <v>128</v>
      </c>
      <c r="J29" s="557"/>
      <c r="K29" s="557"/>
      <c r="L29" s="558"/>
    </row>
    <row r="30" spans="1:12" ht="15.75">
      <c r="A30" s="174"/>
      <c r="J30" s="557"/>
      <c r="K30" s="557"/>
      <c r="L30" s="558"/>
    </row>
    <row r="31" spans="1:12" ht="15.75">
      <c r="A31" s="174">
        <v>603</v>
      </c>
      <c r="B31" s="2" t="s">
        <v>240</v>
      </c>
      <c r="C31" s="39">
        <v>1287752.9386999996</v>
      </c>
      <c r="D31" s="38">
        <f t="shared" ref="D31:D37" si="1">C31/F6</f>
        <v>1.0019742514018656E-2</v>
      </c>
      <c r="J31" s="559"/>
      <c r="K31" s="557"/>
      <c r="L31" s="558"/>
    </row>
    <row r="32" spans="1:12">
      <c r="A32" s="174">
        <v>290</v>
      </c>
      <c r="B32" s="2" t="s">
        <v>241</v>
      </c>
      <c r="C32" s="39">
        <v>347164.85449999996</v>
      </c>
      <c r="D32" s="38">
        <f t="shared" si="1"/>
        <v>2.7012188032887242E-3</v>
      </c>
      <c r="J32" s="559"/>
      <c r="K32" s="557"/>
      <c r="L32" s="557"/>
    </row>
    <row r="33" spans="1:12">
      <c r="A33" s="174">
        <v>162</v>
      </c>
      <c r="B33" s="2" t="s">
        <v>243</v>
      </c>
      <c r="C33" s="39">
        <v>68173.491499999989</v>
      </c>
      <c r="D33" s="38">
        <f t="shared" si="1"/>
        <v>5.3044400877175777E-4</v>
      </c>
      <c r="J33" s="557"/>
      <c r="K33" s="557"/>
      <c r="L33" s="560"/>
    </row>
    <row r="34" spans="1:12">
      <c r="A34" s="174">
        <v>92</v>
      </c>
      <c r="B34" s="2" t="s">
        <v>242</v>
      </c>
      <c r="C34" s="39">
        <v>64551.3845</v>
      </c>
      <c r="D34" s="38">
        <f t="shared" si="1"/>
        <v>5.0226113424082315E-4</v>
      </c>
      <c r="J34" s="557"/>
      <c r="K34" s="557"/>
      <c r="L34" s="557"/>
    </row>
    <row r="35" spans="1:12">
      <c r="A35" s="174">
        <v>43</v>
      </c>
      <c r="B35" s="2" t="s">
        <v>244</v>
      </c>
      <c r="C35" s="39">
        <v>62120.647900000011</v>
      </c>
      <c r="D35" s="38">
        <f t="shared" si="1"/>
        <v>4.8334806938228896E-4</v>
      </c>
      <c r="J35" s="557"/>
      <c r="K35" s="557"/>
      <c r="L35" s="557"/>
    </row>
    <row r="36" spans="1:12">
      <c r="A36" s="174">
        <v>66</v>
      </c>
      <c r="B36" s="2" t="s">
        <v>285</v>
      </c>
      <c r="C36" s="39">
        <v>32725.828799999992</v>
      </c>
      <c r="D36" s="38">
        <f t="shared" si="1"/>
        <v>2.5463298764814239E-4</v>
      </c>
      <c r="J36" s="557"/>
      <c r="K36" s="557"/>
      <c r="L36" s="557"/>
    </row>
    <row r="37" spans="1:12">
      <c r="A37" s="174">
        <v>1</v>
      </c>
      <c r="B37" s="2" t="s">
        <v>245</v>
      </c>
      <c r="C37" s="39">
        <v>3680.5862000000002</v>
      </c>
      <c r="D37" s="225">
        <f t="shared" si="1"/>
        <v>2.8637889238194744E-5</v>
      </c>
    </row>
    <row r="38" spans="1:12">
      <c r="A38" s="174"/>
      <c r="D38" s="322"/>
    </row>
    <row r="41" spans="1:12">
      <c r="A41" s="266">
        <f>SUM(A31:A32)</f>
        <v>893</v>
      </c>
      <c r="B41" s="107" t="s">
        <v>246</v>
      </c>
      <c r="C41" s="106">
        <f>SUM(C31:C32)</f>
        <v>1634917.7931999995</v>
      </c>
      <c r="D41" s="108">
        <f>C41/$F$15</f>
        <v>1.2720961317307379E-2</v>
      </c>
    </row>
    <row r="75" spans="1:1">
      <c r="A75" s="2" t="s">
        <v>247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1"/>
  <sheetViews>
    <sheetView topLeftCell="A22" zoomScale="130" zoomScaleNormal="130" workbookViewId="0">
      <selection activeCell="E12" sqref="E12"/>
    </sheetView>
  </sheetViews>
  <sheetFormatPr baseColWidth="10" defaultColWidth="11.5703125" defaultRowHeight="12"/>
  <cols>
    <col min="1" max="1" width="18.7109375" style="10" customWidth="1"/>
    <col min="2" max="2" width="16.5703125" style="33" customWidth="1"/>
    <col min="3" max="3" width="24.28515625" style="18" customWidth="1"/>
    <col min="4" max="4" width="19.28515625" style="18" customWidth="1"/>
    <col min="5" max="5" width="26.28515625" style="18" customWidth="1"/>
    <col min="6" max="6" width="11.5703125" style="12"/>
    <col min="7" max="16384" width="11.5703125" style="10"/>
  </cols>
  <sheetData>
    <row r="1" spans="1:12" ht="15">
      <c r="A1" s="34" t="s">
        <v>156</v>
      </c>
      <c r="B1" s="10"/>
    </row>
    <row r="2" spans="1:12">
      <c r="A2" s="46"/>
      <c r="B2" s="10"/>
    </row>
    <row r="3" spans="1:12" ht="15">
      <c r="A3" s="34" t="s">
        <v>179</v>
      </c>
      <c r="B3" s="10"/>
    </row>
    <row r="4" spans="1:12" s="55" customFormat="1" ht="15">
      <c r="A4" s="81" t="s">
        <v>157</v>
      </c>
      <c r="C4" s="75"/>
      <c r="D4" s="75"/>
      <c r="E4" s="75"/>
      <c r="F4" s="67"/>
    </row>
    <row r="5" spans="1:12">
      <c r="A5" s="46"/>
      <c r="B5" s="46"/>
      <c r="C5" s="46"/>
      <c r="D5" s="51"/>
      <c r="E5" s="51"/>
      <c r="F5" s="48"/>
    </row>
    <row r="6" spans="1:12">
      <c r="A6" s="33" t="s">
        <v>177</v>
      </c>
      <c r="B6" s="10"/>
    </row>
    <row r="7" spans="1:12" s="53" customFormat="1">
      <c r="A7" s="58" t="s">
        <v>178</v>
      </c>
      <c r="C7" s="59"/>
      <c r="D7" s="59"/>
      <c r="E7" s="59"/>
      <c r="F7" s="49"/>
    </row>
    <row r="8" spans="1:12">
      <c r="B8" s="10"/>
    </row>
    <row r="9" spans="1:12">
      <c r="A9" s="80"/>
      <c r="B9" s="80"/>
      <c r="C9" s="80"/>
      <c r="D9" s="80"/>
      <c r="E9" s="80"/>
      <c r="F9" s="80"/>
    </row>
    <row r="10" spans="1:12">
      <c r="A10" s="80"/>
      <c r="B10" s="80"/>
      <c r="C10" s="80"/>
      <c r="D10" s="80"/>
      <c r="E10" s="80"/>
      <c r="F10" s="80"/>
    </row>
    <row r="11" spans="1:12" s="54" customFormat="1">
      <c r="A11" s="80"/>
      <c r="B11" s="80"/>
      <c r="C11" s="80"/>
      <c r="D11" s="80"/>
      <c r="E11" s="80"/>
      <c r="F11" s="80"/>
    </row>
    <row r="12" spans="1:12" s="32" customFormat="1">
      <c r="A12" s="80"/>
      <c r="B12" s="80"/>
      <c r="C12" s="80"/>
      <c r="D12" s="80"/>
      <c r="E12" s="80"/>
      <c r="F12" s="80"/>
    </row>
    <row r="13" spans="1:12" ht="12.75" thickBot="1">
      <c r="A13" s="80"/>
      <c r="B13" s="80"/>
      <c r="C13" s="80"/>
      <c r="D13" s="80"/>
      <c r="E13" s="80"/>
      <c r="F13" s="10"/>
    </row>
    <row r="14" spans="1:12" ht="12.75" thickBot="1">
      <c r="B14" s="568" t="s">
        <v>83</v>
      </c>
      <c r="C14" s="568"/>
      <c r="D14" s="568"/>
      <c r="E14" s="568"/>
      <c r="F14" s="568"/>
      <c r="G14" s="568"/>
      <c r="H14" s="568"/>
      <c r="I14" s="568"/>
      <c r="J14" s="568"/>
      <c r="K14" s="568"/>
      <c r="L14" s="85">
        <v>2014</v>
      </c>
    </row>
    <row r="15" spans="1:12">
      <c r="A15" s="19" t="s">
        <v>160</v>
      </c>
      <c r="B15" s="19">
        <v>2004</v>
      </c>
      <c r="C15" s="19">
        <v>2005</v>
      </c>
      <c r="D15" s="19">
        <v>2006</v>
      </c>
      <c r="E15" s="19">
        <v>2007</v>
      </c>
      <c r="F15" s="19">
        <v>2008</v>
      </c>
      <c r="G15" s="19">
        <v>2009</v>
      </c>
      <c r="H15" s="19">
        <v>2010</v>
      </c>
      <c r="I15" s="19">
        <v>2011</v>
      </c>
      <c r="J15" s="19">
        <v>2012</v>
      </c>
      <c r="K15" s="19">
        <v>2013</v>
      </c>
      <c r="L15" s="19" t="s">
        <v>161</v>
      </c>
    </row>
    <row r="16" spans="1:12">
      <c r="A16" s="82" t="s">
        <v>162</v>
      </c>
      <c r="B16" s="24">
        <v>2016.3388019675995</v>
      </c>
      <c r="C16" s="24">
        <v>2069.2028821975996</v>
      </c>
      <c r="D16" s="24">
        <v>2650.7768734652409</v>
      </c>
      <c r="E16" s="24">
        <v>2747.715576605241</v>
      </c>
      <c r="F16" s="24">
        <v>3203.9595314852409</v>
      </c>
      <c r="G16" s="24">
        <v>4126.3384317552409</v>
      </c>
      <c r="H16" s="24">
        <v>5028.4463977652413</v>
      </c>
      <c r="I16" s="24">
        <v>5390.9563147666759</v>
      </c>
      <c r="J16" s="24">
        <v>5611.7135050666739</v>
      </c>
      <c r="K16" s="24">
        <v>5591.9661155892481</v>
      </c>
      <c r="L16" s="89">
        <v>5604.437890047554</v>
      </c>
    </row>
    <row r="17" spans="1:12">
      <c r="A17" s="82" t="s">
        <v>163</v>
      </c>
      <c r="B17" s="24">
        <v>1967.4867882353153</v>
      </c>
      <c r="C17" s="24">
        <v>2300.3104409025186</v>
      </c>
      <c r="D17" s="24">
        <v>2498.6154783761099</v>
      </c>
      <c r="E17" s="24">
        <v>2564.8533505304817</v>
      </c>
      <c r="F17" s="24">
        <v>3614.639977182519</v>
      </c>
      <c r="G17" s="24">
        <v>3736.3777963800471</v>
      </c>
      <c r="H17" s="24">
        <v>3895.533183941855</v>
      </c>
      <c r="I17" s="24">
        <v>4081.8216594039341</v>
      </c>
      <c r="J17" s="24">
        <v>4213.4929441154027</v>
      </c>
      <c r="K17" s="24">
        <v>4221.7054745731493</v>
      </c>
      <c r="L17" s="89">
        <v>4221.7054745731493</v>
      </c>
    </row>
    <row r="18" spans="1:12">
      <c r="A18" s="82" t="s">
        <v>164</v>
      </c>
      <c r="B18" s="24">
        <v>4310.2889765974332</v>
      </c>
      <c r="C18" s="24">
        <v>3687.8409155089694</v>
      </c>
      <c r="D18" s="24">
        <v>3679.6163955789693</v>
      </c>
      <c r="E18" s="24">
        <v>3751.1475445490769</v>
      </c>
      <c r="F18" s="24">
        <v>3651.869068069077</v>
      </c>
      <c r="G18" s="24">
        <v>3699.6450680690768</v>
      </c>
      <c r="H18" s="24">
        <v>3788.6378504935014</v>
      </c>
      <c r="I18" s="24">
        <v>3808.0378504935015</v>
      </c>
      <c r="J18" s="24">
        <v>3932.3510261539277</v>
      </c>
      <c r="K18" s="24">
        <v>3932.3510261539277</v>
      </c>
      <c r="L18" s="89">
        <v>3932.3510261539277</v>
      </c>
    </row>
    <row r="19" spans="1:12">
      <c r="A19" s="82" t="s">
        <v>165</v>
      </c>
      <c r="B19" s="24">
        <v>2375.2657345309881</v>
      </c>
      <c r="C19" s="24">
        <v>2297.5666158672607</v>
      </c>
      <c r="D19" s="24">
        <v>2792.1466584639056</v>
      </c>
      <c r="E19" s="24">
        <v>2811.1531355880411</v>
      </c>
      <c r="F19" s="24">
        <v>2925.1640428204187</v>
      </c>
      <c r="G19" s="24">
        <v>3061.2952120130963</v>
      </c>
      <c r="H19" s="24">
        <v>3094.9237797424066</v>
      </c>
      <c r="I19" s="24">
        <v>3107.5768861233728</v>
      </c>
      <c r="J19" s="24">
        <v>3126.2969148318903</v>
      </c>
      <c r="K19" s="24">
        <v>3138.4254700834599</v>
      </c>
      <c r="L19" s="89">
        <v>3163.4254700834599</v>
      </c>
    </row>
    <row r="20" spans="1:12">
      <c r="A20" s="82" t="s">
        <v>166</v>
      </c>
      <c r="B20" s="24">
        <v>1647.7702663745179</v>
      </c>
      <c r="C20" s="24">
        <v>1647.7702663745179</v>
      </c>
      <c r="D20" s="24">
        <v>1664.2388943545179</v>
      </c>
      <c r="E20" s="24">
        <v>1672.9916918245178</v>
      </c>
      <c r="F20" s="24">
        <v>1831.8265378245178</v>
      </c>
      <c r="G20" s="24">
        <v>2189.607049927668</v>
      </c>
      <c r="H20" s="24">
        <v>2454.9098617485233</v>
      </c>
      <c r="I20" s="24">
        <v>2513.4107839465137</v>
      </c>
      <c r="J20" s="24">
        <v>2616.594687318357</v>
      </c>
      <c r="K20" s="24">
        <v>3063.2399150183601</v>
      </c>
      <c r="L20" s="89">
        <v>3065.6903698802112</v>
      </c>
    </row>
    <row r="21" spans="1:12">
      <c r="A21" s="82" t="s">
        <v>167</v>
      </c>
      <c r="B21" s="24">
        <v>667.25720348266987</v>
      </c>
      <c r="C21" s="24">
        <v>665.26879978330419</v>
      </c>
      <c r="D21" s="24">
        <v>701.30914819929308</v>
      </c>
      <c r="E21" s="24">
        <v>710.54980143030332</v>
      </c>
      <c r="F21" s="24">
        <v>725.83371774085163</v>
      </c>
      <c r="G21" s="24">
        <v>755.97493951085164</v>
      </c>
      <c r="H21" s="24">
        <v>786.85445501085167</v>
      </c>
      <c r="I21" s="24">
        <v>794.52936158257012</v>
      </c>
      <c r="J21" s="24">
        <v>795.82925658257011</v>
      </c>
      <c r="K21" s="24">
        <v>796.82925658257011</v>
      </c>
      <c r="L21" s="89">
        <v>797.82925658257011</v>
      </c>
    </row>
    <row r="22" spans="1:12">
      <c r="A22" s="82" t="s">
        <v>168</v>
      </c>
      <c r="B22" s="24">
        <v>207.93021826308302</v>
      </c>
      <c r="C22" s="24">
        <v>207.93021826308302</v>
      </c>
      <c r="D22" s="24">
        <v>207.93021826308302</v>
      </c>
      <c r="E22" s="24">
        <v>233.2223947022014</v>
      </c>
      <c r="F22" s="24">
        <v>394.35828970220143</v>
      </c>
      <c r="G22" s="24">
        <v>415.98610970220142</v>
      </c>
      <c r="H22" s="24">
        <v>637.77964370220138</v>
      </c>
      <c r="I22" s="24">
        <v>657.77959870220138</v>
      </c>
      <c r="J22" s="24">
        <v>679.67954870220171</v>
      </c>
      <c r="K22" s="24">
        <v>679.67954870220171</v>
      </c>
      <c r="L22" s="89">
        <v>679.67954870220171</v>
      </c>
    </row>
    <row r="23" spans="1:12">
      <c r="A23" s="82" t="s">
        <v>169</v>
      </c>
      <c r="B23" s="24">
        <v>373.23570599663424</v>
      </c>
      <c r="C23" s="24">
        <v>384.93353697616629</v>
      </c>
      <c r="D23" s="24">
        <v>395.68009606137497</v>
      </c>
      <c r="E23" s="24">
        <v>420.72520141006299</v>
      </c>
      <c r="F23" s="24">
        <v>444.86441439006302</v>
      </c>
      <c r="G23" s="24">
        <v>554.86128963006297</v>
      </c>
      <c r="H23" s="24">
        <v>647.16456323334512</v>
      </c>
      <c r="I23" s="24">
        <v>654.19884916276044</v>
      </c>
      <c r="J23" s="24">
        <v>657.96556011613347</v>
      </c>
      <c r="K23" s="24">
        <v>674.21752252396402</v>
      </c>
      <c r="L23" s="89">
        <v>674.21752252396402</v>
      </c>
    </row>
    <row r="24" spans="1:12">
      <c r="A24" s="82" t="s">
        <v>170</v>
      </c>
      <c r="B24" s="24">
        <v>248.44516128020001</v>
      </c>
      <c r="C24" s="24">
        <v>265.24541328020001</v>
      </c>
      <c r="D24" s="24">
        <v>265.24541328020001</v>
      </c>
      <c r="E24" s="24">
        <v>265.24541328020001</v>
      </c>
      <c r="F24" s="24">
        <v>302.86211052020002</v>
      </c>
      <c r="G24" s="24">
        <v>322.86717758642072</v>
      </c>
      <c r="H24" s="24">
        <v>331.30892958238934</v>
      </c>
      <c r="I24" s="24">
        <v>360.17504258289864</v>
      </c>
      <c r="J24" s="24">
        <v>361.91967448473912</v>
      </c>
      <c r="K24" s="24">
        <v>365.59100315606781</v>
      </c>
      <c r="L24" s="89">
        <v>360.06981334605672</v>
      </c>
    </row>
    <row r="25" spans="1:12">
      <c r="A25" s="82" t="s">
        <v>171</v>
      </c>
      <c r="B25" s="24">
        <v>86.074439959419195</v>
      </c>
      <c r="C25" s="24">
        <v>95.21343995941919</v>
      </c>
      <c r="D25" s="24">
        <v>124.1948540138946</v>
      </c>
      <c r="E25" s="24">
        <v>163.87990531779587</v>
      </c>
      <c r="F25" s="24">
        <v>204.70128749981606</v>
      </c>
      <c r="G25" s="24">
        <v>224.93950015858047</v>
      </c>
      <c r="H25" s="24">
        <v>329.08729649534104</v>
      </c>
      <c r="I25" s="24">
        <v>329.08729649534104</v>
      </c>
      <c r="J25" s="24">
        <v>339.15682447534101</v>
      </c>
      <c r="K25" s="24">
        <v>344.04136843279014</v>
      </c>
      <c r="L25" s="89">
        <v>344.04136843279014</v>
      </c>
    </row>
    <row r="26" spans="1:12">
      <c r="A26" s="82" t="s">
        <v>172</v>
      </c>
      <c r="B26" s="24">
        <v>9.9844459099999998</v>
      </c>
      <c r="C26" s="24">
        <v>14.49959743</v>
      </c>
      <c r="D26" s="24">
        <v>132.99959742999999</v>
      </c>
      <c r="E26" s="24">
        <v>162.99959742999999</v>
      </c>
      <c r="F26" s="24">
        <v>162.99959742999999</v>
      </c>
      <c r="G26" s="24">
        <v>162.99959742999999</v>
      </c>
      <c r="H26" s="24">
        <v>163.01441792799861</v>
      </c>
      <c r="I26" s="24">
        <v>163.01441792799861</v>
      </c>
      <c r="J26" s="24">
        <v>163.01441792799861</v>
      </c>
      <c r="K26" s="24">
        <v>163.01441792799861</v>
      </c>
      <c r="L26" s="89">
        <v>163.01441792799861</v>
      </c>
    </row>
    <row r="27" spans="1:12">
      <c r="A27" s="82" t="s">
        <v>173</v>
      </c>
      <c r="B27" s="24">
        <v>62.102777143296592</v>
      </c>
      <c r="C27" s="24">
        <v>63.238038683296594</v>
      </c>
      <c r="D27" s="24">
        <v>63.367988803296591</v>
      </c>
      <c r="E27" s="24">
        <v>63.542948803296589</v>
      </c>
      <c r="F27" s="24">
        <v>63.798127193296587</v>
      </c>
      <c r="G27" s="24">
        <v>72.294871953296592</v>
      </c>
      <c r="H27" s="24">
        <v>76.554871953296598</v>
      </c>
      <c r="I27" s="24">
        <v>76.554871953296598</v>
      </c>
      <c r="J27" s="24">
        <v>81.554871953296598</v>
      </c>
      <c r="K27" s="24">
        <v>83.139495953296588</v>
      </c>
      <c r="L27" s="89">
        <v>83.139495953296588</v>
      </c>
    </row>
    <row r="28" spans="1:12">
      <c r="A28" s="82" t="s">
        <v>174</v>
      </c>
      <c r="B28" s="24">
        <v>44.403113932829655</v>
      </c>
      <c r="C28" s="24">
        <v>44.403113932829655</v>
      </c>
      <c r="D28" s="24">
        <v>44.403113932829655</v>
      </c>
      <c r="E28" s="24">
        <v>44.403113932829655</v>
      </c>
      <c r="F28" s="24">
        <v>45.227177792829657</v>
      </c>
      <c r="G28" s="24">
        <v>45.227177792829657</v>
      </c>
      <c r="H28" s="24">
        <v>45.227177792829657</v>
      </c>
      <c r="I28" s="24">
        <v>45.227177792829657</v>
      </c>
      <c r="J28" s="24">
        <v>45.227177792829657</v>
      </c>
      <c r="K28" s="24">
        <v>45.227177792829657</v>
      </c>
      <c r="L28" s="89">
        <v>70.536118793185906</v>
      </c>
    </row>
    <row r="29" spans="1:12">
      <c r="A29" s="82" t="s">
        <v>175</v>
      </c>
      <c r="B29" s="24">
        <v>24.844261986992819</v>
      </c>
      <c r="C29" s="24">
        <v>25.14426198699282</v>
      </c>
      <c r="D29" s="24">
        <v>25.724163788794623</v>
      </c>
      <c r="E29" s="24">
        <v>25.724163788794623</v>
      </c>
      <c r="F29" s="24">
        <v>26.84976370015994</v>
      </c>
      <c r="G29" s="24">
        <v>28.299685700189993</v>
      </c>
      <c r="H29" s="24">
        <v>29.798364000189995</v>
      </c>
      <c r="I29" s="24">
        <v>32.65497576986705</v>
      </c>
      <c r="J29" s="24">
        <v>32.65497576986705</v>
      </c>
      <c r="K29" s="24">
        <v>32.65497576986705</v>
      </c>
      <c r="L29" s="89">
        <v>32.65497576986705</v>
      </c>
    </row>
    <row r="30" spans="1:12">
      <c r="A30" s="82" t="s">
        <v>176</v>
      </c>
      <c r="B30" s="24">
        <v>1.2449411000000001</v>
      </c>
      <c r="C30" s="24">
        <v>1.2449411000000001</v>
      </c>
      <c r="D30" s="24">
        <v>1.2449411000000001</v>
      </c>
      <c r="E30" s="24">
        <v>1.2449411000000001</v>
      </c>
      <c r="F30" s="24">
        <v>1.2449411000000001</v>
      </c>
      <c r="G30" s="24">
        <v>1.2449411000000001</v>
      </c>
      <c r="H30" s="24">
        <v>1.2449411000000001</v>
      </c>
      <c r="I30" s="24">
        <v>1.2449411000000001</v>
      </c>
      <c r="J30" s="24">
        <v>1.2449411000000001</v>
      </c>
      <c r="K30" s="24">
        <v>1.2449411000000001</v>
      </c>
      <c r="L30" s="89">
        <v>1.2449411000000001</v>
      </c>
    </row>
    <row r="31" spans="1:12">
      <c r="A31" s="8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90"/>
    </row>
    <row r="32" spans="1:12">
      <c r="A32" s="84" t="s">
        <v>113</v>
      </c>
      <c r="B32" s="86">
        <f>SUM(B16:B30)</f>
        <v>14042.672836760981</v>
      </c>
      <c r="C32" s="87">
        <f t="shared" ref="C32:L32" si="0">SUM(C16:C30)</f>
        <v>13769.812482246158</v>
      </c>
      <c r="D32" s="87">
        <f t="shared" si="0"/>
        <v>15247.493835111507</v>
      </c>
      <c r="E32" s="87">
        <f t="shared" si="0"/>
        <v>15639.39878029284</v>
      </c>
      <c r="F32" s="87">
        <f t="shared" si="0"/>
        <v>17600.198584451187</v>
      </c>
      <c r="G32" s="87">
        <f t="shared" si="0"/>
        <v>19397.958848709561</v>
      </c>
      <c r="H32" s="87">
        <f t="shared" si="0"/>
        <v>21310.485734489972</v>
      </c>
      <c r="I32" s="87">
        <f t="shared" si="0"/>
        <v>22016.270027803759</v>
      </c>
      <c r="J32" s="87">
        <f t="shared" si="0"/>
        <v>22658.696326391229</v>
      </c>
      <c r="K32" s="87">
        <f t="shared" si="0"/>
        <v>23133.327709359728</v>
      </c>
      <c r="L32" s="92">
        <f t="shared" si="0"/>
        <v>23194.037689870234</v>
      </c>
    </row>
    <row r="33" spans="1:9">
      <c r="A33" s="80"/>
      <c r="B33" s="80"/>
      <c r="C33" s="80"/>
      <c r="D33" s="80"/>
      <c r="E33" s="80"/>
    </row>
    <row r="34" spans="1:9">
      <c r="D34" s="80"/>
      <c r="E34" s="80"/>
    </row>
    <row r="35" spans="1:9" ht="15">
      <c r="A35" s="34" t="s">
        <v>211</v>
      </c>
      <c r="B35" s="80"/>
      <c r="C35" s="80"/>
      <c r="D35" s="80"/>
      <c r="E35" s="80"/>
    </row>
    <row r="36" spans="1:9">
      <c r="A36" s="33" t="s">
        <v>177</v>
      </c>
      <c r="B36" s="10"/>
    </row>
    <row r="37" spans="1:9" s="53" customFormat="1">
      <c r="A37" s="58" t="s">
        <v>178</v>
      </c>
      <c r="C37" s="59"/>
      <c r="D37" s="59"/>
      <c r="E37" s="59"/>
      <c r="F37" s="49"/>
    </row>
    <row r="38" spans="1:9" ht="15.75" thickBot="1">
      <c r="A38" s="34"/>
      <c r="B38" s="80"/>
      <c r="C38" s="80"/>
      <c r="D38" s="80"/>
      <c r="E38" s="80"/>
    </row>
    <row r="39" spans="1:9" s="12" customFormat="1" ht="12.75" thickBot="1">
      <c r="A39" s="80"/>
      <c r="B39" s="85">
        <v>2014</v>
      </c>
      <c r="C39" s="80"/>
      <c r="D39" s="80"/>
      <c r="E39" s="80"/>
      <c r="G39" s="10"/>
      <c r="H39" s="10"/>
      <c r="I39" s="10"/>
    </row>
    <row r="40" spans="1:9" s="12" customFormat="1">
      <c r="A40" s="19" t="s">
        <v>160</v>
      </c>
      <c r="B40" s="19" t="s">
        <v>210</v>
      </c>
      <c r="C40" s="80"/>
      <c r="D40" s="80"/>
      <c r="E40" s="80"/>
      <c r="G40" s="10"/>
      <c r="H40" s="10"/>
      <c r="I40" s="10"/>
    </row>
    <row r="41" spans="1:9" s="12" customFormat="1">
      <c r="A41" s="82" t="s">
        <v>82</v>
      </c>
      <c r="B41" s="89">
        <v>2.6195341199999995</v>
      </c>
      <c r="C41" s="80"/>
      <c r="D41" s="80"/>
      <c r="E41" s="80"/>
      <c r="G41" s="10"/>
      <c r="H41" s="10"/>
      <c r="I41" s="10"/>
    </row>
    <row r="42" spans="1:9" s="12" customFormat="1">
      <c r="A42" s="82" t="s">
        <v>146</v>
      </c>
      <c r="B42" s="89">
        <v>2299.8891868837809</v>
      </c>
      <c r="C42" s="80"/>
      <c r="D42" s="80"/>
      <c r="E42" s="80"/>
      <c r="G42" s="10"/>
      <c r="H42" s="10"/>
      <c r="I42" s="10"/>
    </row>
    <row r="43" spans="1:9" s="12" customFormat="1">
      <c r="A43" s="82" t="s">
        <v>183</v>
      </c>
      <c r="B43" s="89">
        <v>939.77661745620821</v>
      </c>
      <c r="C43" s="80"/>
      <c r="D43" s="80"/>
      <c r="E43" s="80"/>
      <c r="G43" s="10"/>
      <c r="H43" s="10"/>
      <c r="I43" s="10"/>
    </row>
    <row r="44" spans="1:9" s="12" customFormat="1">
      <c r="A44" s="82" t="s">
        <v>184</v>
      </c>
      <c r="B44" s="89">
        <v>409.890173564554</v>
      </c>
      <c r="C44" s="80"/>
      <c r="D44" s="80"/>
      <c r="E44" s="80"/>
      <c r="G44" s="10"/>
      <c r="H44" s="10"/>
      <c r="I44" s="10"/>
    </row>
    <row r="45" spans="1:9" s="12" customFormat="1">
      <c r="A45" s="82" t="s">
        <v>147</v>
      </c>
      <c r="B45" s="89">
        <v>192.060598877231</v>
      </c>
      <c r="C45" s="80"/>
      <c r="D45" s="80"/>
      <c r="E45" s="80"/>
      <c r="G45" s="10"/>
      <c r="H45" s="10"/>
      <c r="I45" s="10"/>
    </row>
    <row r="46" spans="1:9" s="12" customFormat="1">
      <c r="A46" s="82" t="s">
        <v>81</v>
      </c>
      <c r="B46" s="89">
        <v>708.35876683000004</v>
      </c>
      <c r="C46" s="80"/>
      <c r="D46" s="80"/>
      <c r="E46" s="80"/>
      <c r="G46" s="10"/>
      <c r="H46" s="10"/>
      <c r="I46" s="10"/>
    </row>
    <row r="47" spans="1:9" s="12" customFormat="1">
      <c r="A47" s="82" t="s">
        <v>148</v>
      </c>
      <c r="B47" s="89">
        <v>0</v>
      </c>
      <c r="C47" s="80"/>
      <c r="D47" s="80"/>
      <c r="E47" s="80"/>
      <c r="G47" s="10"/>
      <c r="H47" s="10"/>
      <c r="I47" s="10"/>
    </row>
    <row r="48" spans="1:9" s="12" customFormat="1">
      <c r="A48" s="82" t="s">
        <v>145</v>
      </c>
      <c r="B48" s="89">
        <v>349.00856413600337</v>
      </c>
      <c r="C48" s="80"/>
      <c r="D48" s="80"/>
      <c r="E48" s="80"/>
      <c r="G48" s="10"/>
      <c r="H48" s="10"/>
      <c r="I48" s="10"/>
    </row>
    <row r="49" spans="1:9" s="12" customFormat="1">
      <c r="A49" s="82" t="s">
        <v>185</v>
      </c>
      <c r="B49" s="89">
        <v>38.648328444955993</v>
      </c>
      <c r="C49" s="80"/>
      <c r="D49" s="80"/>
      <c r="E49" s="80"/>
      <c r="G49" s="10"/>
      <c r="H49" s="10"/>
      <c r="I49" s="10"/>
    </row>
    <row r="50" spans="1:9" s="12" customFormat="1">
      <c r="A50" s="82" t="s">
        <v>186</v>
      </c>
      <c r="B50" s="89">
        <v>225.71720261000002</v>
      </c>
      <c r="C50" s="80"/>
      <c r="D50" s="80"/>
      <c r="E50" s="80"/>
      <c r="G50" s="10"/>
      <c r="H50" s="10"/>
      <c r="I50" s="10"/>
    </row>
    <row r="51" spans="1:9" s="12" customFormat="1">
      <c r="A51" s="82" t="s">
        <v>187</v>
      </c>
      <c r="B51" s="89">
        <v>24.987835522574006</v>
      </c>
      <c r="C51" s="80"/>
      <c r="D51" s="80"/>
      <c r="E51" s="80"/>
      <c r="G51" s="10"/>
      <c r="H51" s="10"/>
      <c r="I51" s="10"/>
    </row>
    <row r="52" spans="1:9" s="12" customFormat="1">
      <c r="A52" s="82" t="s">
        <v>144</v>
      </c>
      <c r="B52" s="89">
        <v>12.183352823274996</v>
      </c>
      <c r="C52" s="80"/>
      <c r="D52" s="80"/>
      <c r="E52" s="80"/>
      <c r="G52" s="10"/>
      <c r="H52" s="10"/>
      <c r="I52" s="10"/>
    </row>
    <row r="53" spans="1:9" s="12" customFormat="1">
      <c r="A53" s="82" t="s">
        <v>188</v>
      </c>
      <c r="B53" s="89">
        <v>0</v>
      </c>
      <c r="C53" s="80"/>
      <c r="D53" s="80"/>
      <c r="E53" s="80"/>
      <c r="G53" s="10"/>
      <c r="H53" s="10"/>
      <c r="I53" s="10"/>
    </row>
    <row r="54" spans="1:9" s="12" customFormat="1">
      <c r="A54" s="82" t="s">
        <v>78</v>
      </c>
      <c r="B54" s="89">
        <v>181.25979093999999</v>
      </c>
      <c r="C54" s="80"/>
      <c r="D54" s="80"/>
      <c r="E54" s="80"/>
      <c r="G54" s="10"/>
      <c r="H54" s="10"/>
      <c r="I54" s="10"/>
    </row>
    <row r="55" spans="1:9" s="12" customFormat="1">
      <c r="A55" s="82" t="s">
        <v>189</v>
      </c>
      <c r="B55" s="89">
        <v>19.203540126541</v>
      </c>
      <c r="C55" s="80"/>
      <c r="D55" s="80"/>
      <c r="E55" s="80"/>
      <c r="G55" s="10"/>
      <c r="H55" s="10"/>
      <c r="I55" s="10"/>
    </row>
    <row r="56" spans="1:9" s="12" customFormat="1">
      <c r="A56" s="82" t="s">
        <v>190</v>
      </c>
      <c r="B56" s="89">
        <v>0</v>
      </c>
      <c r="C56" s="80"/>
      <c r="D56" s="80"/>
      <c r="E56" s="80"/>
      <c r="G56" s="10"/>
      <c r="H56" s="10"/>
      <c r="I56" s="10"/>
    </row>
    <row r="57" spans="1:9" s="12" customFormat="1">
      <c r="A57" s="82" t="s">
        <v>77</v>
      </c>
      <c r="B57" s="89">
        <v>157.78027131143469</v>
      </c>
      <c r="C57" s="80"/>
      <c r="D57" s="80"/>
      <c r="E57" s="80"/>
      <c r="G57" s="10"/>
      <c r="H57" s="10"/>
      <c r="I57" s="10"/>
    </row>
    <row r="58" spans="1:9" s="12" customFormat="1">
      <c r="A58" s="82" t="s">
        <v>79</v>
      </c>
      <c r="B58" s="89">
        <v>2.4854901905310003</v>
      </c>
      <c r="C58" s="80"/>
      <c r="D58" s="80"/>
      <c r="E58" s="80"/>
      <c r="G58" s="10"/>
      <c r="H58" s="10"/>
      <c r="I58" s="10"/>
    </row>
    <row r="59" spans="1:9" s="12" customFormat="1">
      <c r="A59" s="82" t="s">
        <v>191</v>
      </c>
      <c r="B59" s="89">
        <v>0</v>
      </c>
      <c r="C59" s="80"/>
      <c r="D59" s="80"/>
      <c r="E59" s="80"/>
      <c r="G59" s="10"/>
      <c r="H59" s="10"/>
      <c r="I59" s="10"/>
    </row>
    <row r="60" spans="1:9" s="12" customFormat="1">
      <c r="A60" s="82" t="s">
        <v>192</v>
      </c>
      <c r="B60" s="89">
        <v>0.32579999999999998</v>
      </c>
      <c r="C60" s="80"/>
      <c r="D60" s="80"/>
      <c r="E60" s="80"/>
      <c r="G60" s="10"/>
      <c r="H60" s="10"/>
      <c r="I60" s="10"/>
    </row>
    <row r="61" spans="1:9" s="12" customFormat="1">
      <c r="A61" s="82" t="s">
        <v>193</v>
      </c>
      <c r="B61" s="89">
        <v>0</v>
      </c>
      <c r="C61" s="80"/>
      <c r="D61" s="80"/>
      <c r="E61" s="80"/>
      <c r="G61" s="10"/>
      <c r="H61" s="10"/>
      <c r="I61" s="10"/>
    </row>
    <row r="62" spans="1:9" s="12" customFormat="1">
      <c r="A62" s="82" t="s">
        <v>80</v>
      </c>
      <c r="B62" s="89">
        <v>11.707172521522002</v>
      </c>
      <c r="C62" s="80"/>
      <c r="D62" s="80"/>
      <c r="E62" s="80"/>
      <c r="G62" s="10"/>
      <c r="H62" s="10"/>
      <c r="I62" s="10"/>
    </row>
    <row r="63" spans="1:9" s="12" customFormat="1">
      <c r="A63" s="82" t="s">
        <v>194</v>
      </c>
      <c r="B63" s="89">
        <v>0</v>
      </c>
      <c r="C63" s="80"/>
      <c r="D63" s="80"/>
      <c r="E63" s="80"/>
      <c r="G63" s="10"/>
      <c r="H63" s="10"/>
      <c r="I63" s="10"/>
    </row>
    <row r="64" spans="1:9" s="12" customFormat="1">
      <c r="A64" s="82" t="s">
        <v>195</v>
      </c>
      <c r="B64" s="89">
        <v>1.4210854715202003E-20</v>
      </c>
      <c r="C64" s="80"/>
      <c r="D64" s="80"/>
      <c r="E64" s="80"/>
      <c r="G64" s="10"/>
      <c r="H64" s="10"/>
      <c r="I64" s="10"/>
    </row>
    <row r="65" spans="1:23" s="12" customFormat="1">
      <c r="A65" s="82" t="s">
        <v>196</v>
      </c>
      <c r="B65" s="89">
        <v>0</v>
      </c>
      <c r="C65" s="80"/>
      <c r="D65" s="80"/>
      <c r="E65" s="80"/>
      <c r="G65" s="10"/>
      <c r="H65" s="10"/>
      <c r="I65" s="10"/>
    </row>
    <row r="66" spans="1:23" s="12" customFormat="1">
      <c r="A66" s="82" t="s">
        <v>197</v>
      </c>
      <c r="B66" s="89">
        <v>5.9000216424465184E-11</v>
      </c>
      <c r="C66" s="80"/>
      <c r="D66" s="80"/>
      <c r="E66" s="80"/>
      <c r="G66" s="10"/>
      <c r="H66" s="10"/>
      <c r="I66" s="10"/>
    </row>
    <row r="67" spans="1:23" s="12" customFormat="1">
      <c r="A67" s="82" t="s">
        <v>198</v>
      </c>
      <c r="B67" s="89">
        <v>1.9599999999999999E-3</v>
      </c>
      <c r="C67" s="80"/>
      <c r="D67" s="80"/>
      <c r="E67" s="80"/>
      <c r="G67" s="10"/>
      <c r="H67" s="10"/>
      <c r="I67" s="10"/>
    </row>
    <row r="68" spans="1:23" s="12" customFormat="1">
      <c r="A68" s="82" t="s">
        <v>199</v>
      </c>
      <c r="B68" s="89">
        <v>5.6843418860808012E-20</v>
      </c>
      <c r="C68" s="80"/>
      <c r="D68" s="80"/>
      <c r="E68" s="80"/>
    </row>
    <row r="69" spans="1:23" s="12" customFormat="1">
      <c r="A69" s="82" t="s">
        <v>200</v>
      </c>
      <c r="B69" s="89">
        <v>0</v>
      </c>
      <c r="C69" s="80"/>
      <c r="D69" s="80"/>
      <c r="E69" s="80"/>
    </row>
    <row r="70" spans="1:23" s="12" customFormat="1">
      <c r="A70" s="82" t="s">
        <v>201</v>
      </c>
      <c r="B70" s="89">
        <v>0</v>
      </c>
      <c r="C70" s="80"/>
      <c r="D70" s="80"/>
      <c r="E70" s="80"/>
    </row>
    <row r="71" spans="1:23" s="12" customFormat="1">
      <c r="A71" s="82" t="s">
        <v>202</v>
      </c>
      <c r="B71" s="89">
        <v>5.6843418860808012E-20</v>
      </c>
      <c r="C71" s="80"/>
      <c r="D71" s="80"/>
      <c r="E71" s="80"/>
    </row>
    <row r="72" spans="1:23" s="12" customFormat="1">
      <c r="A72" s="82" t="s">
        <v>203</v>
      </c>
      <c r="B72" s="89">
        <v>4.6701499999999996</v>
      </c>
      <c r="C72" s="80"/>
      <c r="D72" s="80"/>
      <c r="E72" s="80"/>
    </row>
    <row r="73" spans="1:23" s="12" customFormat="1">
      <c r="A73" s="82" t="s">
        <v>204</v>
      </c>
      <c r="B73" s="89">
        <v>0</v>
      </c>
      <c r="C73" s="80"/>
      <c r="D73" s="80"/>
      <c r="E73" s="80"/>
    </row>
    <row r="74" spans="1:23" s="12" customFormat="1">
      <c r="A74" s="82" t="s">
        <v>205</v>
      </c>
      <c r="B74" s="89">
        <v>0</v>
      </c>
      <c r="C74" s="80"/>
      <c r="D74" s="80"/>
      <c r="E74" s="80"/>
    </row>
    <row r="75" spans="1:23" s="12" customFormat="1">
      <c r="A75" s="82" t="s">
        <v>206</v>
      </c>
      <c r="B75" s="89">
        <v>4.7643486383059042</v>
      </c>
      <c r="C75" s="80"/>
      <c r="D75" s="80"/>
      <c r="E75" s="80"/>
    </row>
    <row r="76" spans="1:23" s="12" customFormat="1">
      <c r="A76" s="82" t="s">
        <v>207</v>
      </c>
      <c r="B76" s="89">
        <v>2.1400000000000003E-6</v>
      </c>
      <c r="C76" s="80"/>
      <c r="D76" s="80"/>
      <c r="E76" s="80"/>
    </row>
    <row r="77" spans="1:23" s="12" customFormat="1">
      <c r="A77" s="82" t="s">
        <v>208</v>
      </c>
      <c r="B77" s="89">
        <v>0</v>
      </c>
      <c r="C77" s="80"/>
      <c r="D77" s="80"/>
      <c r="E77" s="80"/>
    </row>
    <row r="78" spans="1:23" s="12" customFormat="1">
      <c r="A78" s="82" t="s">
        <v>209</v>
      </c>
      <c r="B78" s="89">
        <v>2.4349140000076184</v>
      </c>
      <c r="C78" s="80"/>
      <c r="D78" s="80"/>
      <c r="E78" s="80"/>
    </row>
    <row r="79" spans="1:23" s="12" customFormat="1">
      <c r="A79" s="82" t="s">
        <v>43</v>
      </c>
      <c r="B79" s="89">
        <v>16.664288910570125</v>
      </c>
      <c r="C79" s="80"/>
      <c r="D79" s="80"/>
      <c r="E79" s="80"/>
    </row>
    <row r="80" spans="1:23" s="12" customFormat="1">
      <c r="A80" s="82"/>
      <c r="B80" s="90"/>
      <c r="C80" s="80"/>
      <c r="D80" s="80"/>
      <c r="E80" s="8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</row>
    <row r="81" spans="1:23" s="12" customFormat="1">
      <c r="A81" s="84" t="s">
        <v>113</v>
      </c>
      <c r="B81" s="91">
        <v>5604.4378900475531</v>
      </c>
      <c r="C81" s="80"/>
      <c r="D81" s="80"/>
      <c r="E81" s="8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</row>
    <row r="82" spans="1:23" s="12" customFormat="1">
      <c r="A82" s="80"/>
      <c r="B82" s="80"/>
      <c r="C82" s="80"/>
      <c r="D82" s="80"/>
      <c r="E82" s="8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</row>
    <row r="83" spans="1:23" s="12" customFormat="1">
      <c r="A83" s="88" t="s">
        <v>182</v>
      </c>
      <c r="B83" s="80"/>
      <c r="C83" s="80"/>
      <c r="D83" s="80"/>
      <c r="E83" s="8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</row>
    <row r="84" spans="1:23" s="12" customFormat="1">
      <c r="A84" s="88" t="s">
        <v>181</v>
      </c>
      <c r="B84" s="80"/>
      <c r="C84" s="80"/>
      <c r="D84" s="80"/>
      <c r="E84" s="8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</row>
    <row r="85" spans="1:23" s="12" customFormat="1">
      <c r="A85" s="88" t="s">
        <v>180</v>
      </c>
      <c r="B85" s="80"/>
      <c r="C85" s="80"/>
      <c r="D85" s="80"/>
      <c r="E85" s="8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</row>
    <row r="86" spans="1:23">
      <c r="A86" s="12"/>
      <c r="B86" s="12"/>
      <c r="C86" s="80"/>
      <c r="D86" s="80"/>
      <c r="E86" s="80"/>
    </row>
    <row r="87" spans="1:23">
      <c r="C87" s="80"/>
      <c r="D87" s="80"/>
      <c r="E87" s="80"/>
      <c r="F87" s="80"/>
      <c r="G87" s="80"/>
      <c r="H87" s="80"/>
      <c r="I87" s="80"/>
    </row>
    <row r="88" spans="1:23">
      <c r="C88" s="80"/>
      <c r="D88" s="80"/>
      <c r="E88" s="80"/>
    </row>
    <row r="89" spans="1:23">
      <c r="A89" s="80"/>
      <c r="B89" s="80"/>
      <c r="C89" s="80"/>
      <c r="D89" s="80"/>
      <c r="E89" s="80"/>
      <c r="F89" s="10"/>
    </row>
    <row r="90" spans="1:23">
      <c r="A90" s="80"/>
      <c r="B90" s="80"/>
      <c r="C90" s="80"/>
      <c r="D90" s="80"/>
      <c r="E90" s="80"/>
      <c r="F90" s="10"/>
    </row>
    <row r="91" spans="1:23">
      <c r="A91" s="80"/>
      <c r="B91" s="80"/>
      <c r="C91" s="80"/>
      <c r="D91" s="80"/>
      <c r="E91" s="80"/>
    </row>
    <row r="92" spans="1:23">
      <c r="A92" s="80"/>
      <c r="B92" s="80"/>
      <c r="C92" s="80"/>
      <c r="D92" s="80"/>
      <c r="E92" s="80"/>
    </row>
    <row r="93" spans="1:23">
      <c r="A93" s="80"/>
      <c r="B93" s="80"/>
      <c r="C93" s="80"/>
      <c r="D93" s="80"/>
      <c r="E93" s="80"/>
    </row>
    <row r="94" spans="1:23">
      <c r="A94" s="80"/>
      <c r="B94" s="80"/>
      <c r="C94" s="80"/>
      <c r="D94" s="80"/>
      <c r="E94" s="80"/>
    </row>
    <row r="95" spans="1:23">
      <c r="A95" s="80"/>
      <c r="B95" s="80"/>
      <c r="C95" s="80"/>
      <c r="D95" s="80"/>
      <c r="E95" s="80"/>
    </row>
    <row r="96" spans="1:23">
      <c r="A96" s="80"/>
      <c r="B96" s="80"/>
      <c r="C96" s="80"/>
      <c r="D96" s="80"/>
      <c r="E96" s="80"/>
    </row>
    <row r="97" spans="1:6">
      <c r="A97" s="80"/>
      <c r="B97" s="80"/>
      <c r="C97" s="80"/>
      <c r="D97" s="80"/>
      <c r="E97" s="80"/>
    </row>
    <row r="98" spans="1:6">
      <c r="A98" s="80"/>
      <c r="B98" s="80"/>
      <c r="C98" s="80"/>
      <c r="D98" s="80"/>
      <c r="E98" s="80"/>
    </row>
    <row r="99" spans="1:6">
      <c r="A99" s="80"/>
      <c r="B99" s="80"/>
      <c r="C99" s="80"/>
      <c r="D99" s="80"/>
      <c r="E99" s="80"/>
    </row>
    <row r="100" spans="1:6">
      <c r="A100" s="80"/>
      <c r="B100" s="80"/>
      <c r="C100" s="80"/>
      <c r="D100" s="80"/>
      <c r="E100" s="80"/>
    </row>
    <row r="101" spans="1:6">
      <c r="A101" s="80"/>
      <c r="B101" s="80"/>
      <c r="C101" s="80"/>
      <c r="D101" s="80"/>
      <c r="E101" s="80"/>
    </row>
    <row r="102" spans="1:6">
      <c r="A102" s="80"/>
      <c r="B102" s="80"/>
      <c r="C102" s="80"/>
      <c r="D102" s="80"/>
      <c r="E102" s="80"/>
    </row>
    <row r="103" spans="1:6">
      <c r="A103" s="80"/>
      <c r="B103" s="80"/>
      <c r="C103" s="80"/>
      <c r="D103" s="80"/>
      <c r="E103" s="80"/>
    </row>
    <row r="104" spans="1:6">
      <c r="A104" s="80"/>
      <c r="B104" s="80"/>
      <c r="C104" s="80"/>
      <c r="D104" s="80"/>
      <c r="E104" s="80"/>
    </row>
    <row r="105" spans="1:6">
      <c r="A105" s="80"/>
      <c r="B105" s="80"/>
      <c r="C105" s="80"/>
      <c r="D105" s="80"/>
      <c r="E105" s="80"/>
      <c r="F105" s="10"/>
    </row>
    <row r="106" spans="1:6">
      <c r="A106" s="80"/>
      <c r="B106" s="80"/>
      <c r="C106" s="80"/>
      <c r="D106" s="80"/>
      <c r="E106" s="80"/>
      <c r="F106" s="10"/>
    </row>
    <row r="107" spans="1:6" s="55" customFormat="1">
      <c r="A107" s="80"/>
      <c r="B107" s="80"/>
      <c r="C107" s="80"/>
      <c r="D107" s="80"/>
      <c r="E107" s="80"/>
    </row>
    <row r="108" spans="1:6">
      <c r="A108" s="80"/>
      <c r="B108" s="80"/>
      <c r="C108" s="80"/>
      <c r="D108" s="80"/>
      <c r="E108" s="80"/>
      <c r="F108" s="10"/>
    </row>
    <row r="109" spans="1:6" s="79" customFormat="1">
      <c r="A109" s="80"/>
      <c r="B109" s="80"/>
      <c r="C109" s="80"/>
      <c r="D109" s="80"/>
      <c r="E109" s="80"/>
    </row>
    <row r="110" spans="1:6">
      <c r="A110" s="80"/>
      <c r="B110" s="80"/>
      <c r="C110" s="80"/>
      <c r="D110" s="80"/>
      <c r="E110" s="80"/>
      <c r="F110" s="10"/>
    </row>
    <row r="111" spans="1:6">
      <c r="A111" s="80"/>
      <c r="B111" s="80"/>
      <c r="C111" s="80"/>
      <c r="D111" s="80"/>
      <c r="E111" s="80"/>
      <c r="F111" s="10"/>
    </row>
    <row r="112" spans="1:6">
      <c r="A112" s="80"/>
      <c r="B112" s="80"/>
      <c r="C112" s="80"/>
      <c r="D112" s="80"/>
      <c r="E112" s="80"/>
      <c r="F112" s="10"/>
    </row>
    <row r="113" spans="1:9">
      <c r="A113" s="80"/>
      <c r="B113" s="80"/>
      <c r="C113" s="80"/>
      <c r="D113" s="80"/>
      <c r="E113" s="80"/>
      <c r="F113" s="10"/>
    </row>
    <row r="114" spans="1:9">
      <c r="A114" s="80"/>
      <c r="B114" s="80"/>
      <c r="C114" s="80"/>
      <c r="D114" s="80"/>
      <c r="E114" s="80"/>
      <c r="F114" s="10"/>
    </row>
    <row r="115" spans="1:9">
      <c r="A115" s="80"/>
      <c r="B115" s="80"/>
      <c r="C115" s="80"/>
      <c r="D115" s="80"/>
      <c r="E115" s="80"/>
      <c r="F115" s="10"/>
    </row>
    <row r="116" spans="1:9" s="55" customFormat="1">
      <c r="A116" s="80"/>
      <c r="B116" s="80"/>
      <c r="C116" s="80"/>
      <c r="D116" s="80"/>
      <c r="E116" s="80"/>
    </row>
    <row r="117" spans="1:9">
      <c r="A117" s="80"/>
      <c r="B117" s="80"/>
      <c r="C117" s="80"/>
      <c r="D117" s="80"/>
      <c r="E117" s="80"/>
      <c r="F117" s="10"/>
    </row>
    <row r="118" spans="1:9" s="79" customFormat="1">
      <c r="A118" s="80"/>
      <c r="B118" s="80"/>
      <c r="C118" s="80"/>
      <c r="D118" s="80"/>
      <c r="E118" s="80"/>
    </row>
    <row r="119" spans="1:9">
      <c r="A119" s="80"/>
      <c r="B119" s="80"/>
      <c r="C119" s="80"/>
      <c r="D119" s="80"/>
      <c r="E119" s="80"/>
      <c r="F119" s="10"/>
    </row>
    <row r="120" spans="1:9">
      <c r="A120" s="80"/>
      <c r="B120" s="80"/>
      <c r="C120" s="80"/>
      <c r="D120" s="80"/>
      <c r="E120" s="80"/>
      <c r="F120" s="10"/>
    </row>
    <row r="121" spans="1:9">
      <c r="A121" s="80"/>
      <c r="B121" s="80"/>
      <c r="C121" s="80"/>
      <c r="D121" s="80"/>
      <c r="E121" s="80"/>
      <c r="F121" s="10"/>
    </row>
    <row r="122" spans="1:9">
      <c r="A122" s="80"/>
      <c r="B122" s="80"/>
      <c r="C122" s="80"/>
      <c r="D122" s="80"/>
      <c r="E122" s="80"/>
    </row>
    <row r="123" spans="1:9">
      <c r="A123" s="80"/>
      <c r="B123" s="80"/>
      <c r="C123" s="80"/>
      <c r="D123" s="80"/>
      <c r="E123" s="80"/>
    </row>
    <row r="124" spans="1:9">
      <c r="A124" s="80"/>
      <c r="B124" s="80"/>
      <c r="C124" s="80"/>
      <c r="D124" s="80"/>
      <c r="E124" s="80"/>
    </row>
    <row r="125" spans="1:9">
      <c r="A125" s="80"/>
      <c r="B125" s="80"/>
      <c r="C125" s="80"/>
      <c r="D125" s="80"/>
      <c r="E125" s="80"/>
    </row>
    <row r="126" spans="1:9">
      <c r="A126" s="80"/>
      <c r="B126" s="80"/>
      <c r="C126" s="80"/>
      <c r="D126" s="80"/>
      <c r="E126" s="80"/>
    </row>
    <row r="127" spans="1:9" s="33" customFormat="1">
      <c r="A127" s="80"/>
      <c r="B127" s="80"/>
      <c r="C127" s="80"/>
      <c r="D127" s="80"/>
      <c r="E127" s="80"/>
      <c r="F127" s="12"/>
      <c r="G127" s="10"/>
      <c r="H127" s="10"/>
      <c r="I127" s="10"/>
    </row>
    <row r="128" spans="1:9" s="58" customFormat="1">
      <c r="A128" s="80"/>
      <c r="B128" s="80"/>
      <c r="C128" s="80"/>
      <c r="D128" s="80"/>
      <c r="E128" s="80"/>
      <c r="F128" s="49"/>
      <c r="G128" s="53"/>
      <c r="H128" s="53"/>
      <c r="I128" s="53"/>
    </row>
    <row r="129" spans="1:5">
      <c r="A129" s="80"/>
      <c r="B129" s="80"/>
      <c r="C129" s="80"/>
      <c r="D129" s="80"/>
      <c r="E129" s="80"/>
    </row>
    <row r="130" spans="1:5">
      <c r="A130" s="80"/>
      <c r="B130" s="80"/>
      <c r="C130" s="80"/>
      <c r="D130" s="80"/>
      <c r="E130" s="80"/>
    </row>
    <row r="131" spans="1:5">
      <c r="A131" s="80"/>
      <c r="B131" s="80"/>
      <c r="C131" s="80"/>
      <c r="D131" s="80"/>
      <c r="E131" s="80"/>
    </row>
  </sheetData>
  <mergeCells count="1">
    <mergeCell ref="B14:K14"/>
  </mergeCells>
  <pageMargins left="0.7" right="0.7" top="0.75" bottom="0.75" header="0.3" footer="0.3"/>
  <ignoredErrors>
    <ignoredError sqref="B32:L32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42"/>
  <sheetViews>
    <sheetView workbookViewId="0"/>
  </sheetViews>
  <sheetFormatPr baseColWidth="10" defaultRowHeight="15"/>
  <cols>
    <col min="2" max="14" width="10.140625" customWidth="1"/>
  </cols>
  <sheetData>
    <row r="1" spans="1:14">
      <c r="A1" s="204" t="s">
        <v>288</v>
      </c>
    </row>
    <row r="2" spans="1:14">
      <c r="A2" s="204" t="s">
        <v>289</v>
      </c>
    </row>
    <row r="4" spans="1:14">
      <c r="A4" s="205" t="s">
        <v>0</v>
      </c>
      <c r="B4" s="188" t="s">
        <v>215</v>
      </c>
      <c r="C4" s="188" t="s">
        <v>218</v>
      </c>
      <c r="D4" s="188" t="s">
        <v>229</v>
      </c>
      <c r="E4" s="188" t="s">
        <v>250</v>
      </c>
      <c r="F4" s="188" t="s">
        <v>251</v>
      </c>
      <c r="G4" s="188" t="s">
        <v>277</v>
      </c>
      <c r="H4" s="188" t="s">
        <v>278</v>
      </c>
      <c r="I4" s="188" t="s">
        <v>283</v>
      </c>
      <c r="J4" s="188" t="s">
        <v>284</v>
      </c>
      <c r="K4" s="188" t="s">
        <v>286</v>
      </c>
      <c r="L4" s="188" t="s">
        <v>290</v>
      </c>
      <c r="M4" s="188" t="s">
        <v>291</v>
      </c>
      <c r="N4" s="188" t="s">
        <v>113</v>
      </c>
    </row>
    <row r="5" spans="1:14">
      <c r="A5" s="206">
        <v>2008</v>
      </c>
      <c r="B5" s="207">
        <v>709</v>
      </c>
      <c r="C5" s="207">
        <v>1674</v>
      </c>
      <c r="D5" s="207">
        <v>642</v>
      </c>
      <c r="E5" s="207">
        <v>807</v>
      </c>
      <c r="F5" s="207">
        <v>1007</v>
      </c>
      <c r="G5" s="207">
        <v>649</v>
      </c>
      <c r="H5" s="207">
        <v>856</v>
      </c>
      <c r="I5" s="207">
        <v>1094</v>
      </c>
      <c r="J5" s="207">
        <v>812</v>
      </c>
      <c r="K5" s="207">
        <v>686</v>
      </c>
      <c r="L5" s="207">
        <v>511</v>
      </c>
      <c r="M5" s="207">
        <v>346</v>
      </c>
      <c r="N5" s="207">
        <v>9793</v>
      </c>
    </row>
    <row r="6" spans="1:14">
      <c r="A6" s="206">
        <v>2009</v>
      </c>
      <c r="B6" s="207">
        <v>353</v>
      </c>
      <c r="C6" s="207">
        <v>717</v>
      </c>
      <c r="D6" s="207">
        <v>601</v>
      </c>
      <c r="E6" s="207">
        <v>338</v>
      </c>
      <c r="F6" s="207">
        <v>507</v>
      </c>
      <c r="G6" s="207">
        <v>281</v>
      </c>
      <c r="H6" s="207">
        <v>304</v>
      </c>
      <c r="I6" s="207">
        <v>586</v>
      </c>
      <c r="J6" s="207">
        <v>415</v>
      </c>
      <c r="K6" s="207">
        <v>439</v>
      </c>
      <c r="L6" s="207">
        <v>404</v>
      </c>
      <c r="M6" s="207">
        <v>290</v>
      </c>
      <c r="N6" s="207">
        <v>5235</v>
      </c>
    </row>
    <row r="7" spans="1:14">
      <c r="A7" s="206">
        <v>2010</v>
      </c>
      <c r="B7" s="207">
        <v>514</v>
      </c>
      <c r="C7" s="207">
        <v>1556</v>
      </c>
      <c r="D7" s="207">
        <v>512</v>
      </c>
      <c r="E7" s="207">
        <v>467</v>
      </c>
      <c r="F7" s="207">
        <v>697</v>
      </c>
      <c r="G7" s="207">
        <v>476</v>
      </c>
      <c r="H7" s="207">
        <v>686</v>
      </c>
      <c r="I7" s="207">
        <v>686</v>
      </c>
      <c r="J7" s="207">
        <v>526</v>
      </c>
      <c r="K7" s="207">
        <v>859</v>
      </c>
      <c r="L7" s="207">
        <v>949</v>
      </c>
      <c r="M7" s="207">
        <v>1710</v>
      </c>
      <c r="N7" s="207">
        <v>9638</v>
      </c>
    </row>
    <row r="8" spans="1:14">
      <c r="A8" s="206">
        <v>2011</v>
      </c>
      <c r="B8" s="207">
        <v>1388</v>
      </c>
      <c r="C8" s="207">
        <v>1930</v>
      </c>
      <c r="D8" s="207">
        <v>961</v>
      </c>
      <c r="E8" s="207">
        <v>782</v>
      </c>
      <c r="F8" s="207">
        <v>898</v>
      </c>
      <c r="G8" s="207">
        <v>494</v>
      </c>
      <c r="H8" s="207">
        <v>545</v>
      </c>
      <c r="I8" s="207">
        <v>600</v>
      </c>
      <c r="J8" s="207">
        <v>691</v>
      </c>
      <c r="K8" s="207">
        <v>451</v>
      </c>
      <c r="L8" s="207">
        <v>739</v>
      </c>
      <c r="M8" s="207">
        <v>463</v>
      </c>
      <c r="N8" s="207">
        <v>9942</v>
      </c>
    </row>
    <row r="9" spans="1:14">
      <c r="A9" s="206">
        <v>2012</v>
      </c>
      <c r="B9" s="207">
        <v>1391</v>
      </c>
      <c r="C9" s="207">
        <v>462</v>
      </c>
      <c r="D9" s="207">
        <v>474</v>
      </c>
      <c r="E9" s="207">
        <v>345</v>
      </c>
      <c r="F9" s="207">
        <v>1279</v>
      </c>
      <c r="G9" s="207">
        <v>523</v>
      </c>
      <c r="H9" s="207">
        <v>450</v>
      </c>
      <c r="I9" s="207">
        <v>611</v>
      </c>
      <c r="J9" s="207">
        <v>384</v>
      </c>
      <c r="K9" s="207">
        <v>371</v>
      </c>
      <c r="L9" s="207">
        <v>739</v>
      </c>
      <c r="M9" s="207">
        <v>218</v>
      </c>
      <c r="N9" s="207">
        <v>7247</v>
      </c>
    </row>
    <row r="10" spans="1:14">
      <c r="A10" s="206">
        <v>2013</v>
      </c>
      <c r="B10" s="207">
        <v>1121</v>
      </c>
      <c r="C10" s="207">
        <v>319</v>
      </c>
      <c r="D10" s="207">
        <v>318</v>
      </c>
      <c r="E10" s="207">
        <v>418</v>
      </c>
      <c r="F10" s="207">
        <v>1035</v>
      </c>
      <c r="G10" s="207">
        <v>376</v>
      </c>
      <c r="H10" s="207">
        <v>360</v>
      </c>
      <c r="I10" s="207">
        <v>451</v>
      </c>
      <c r="J10" s="207">
        <v>310</v>
      </c>
      <c r="K10" s="207">
        <v>271</v>
      </c>
      <c r="L10" s="207">
        <v>650</v>
      </c>
      <c r="M10" s="207">
        <v>168</v>
      </c>
      <c r="N10" s="207">
        <v>5797</v>
      </c>
    </row>
    <row r="11" spans="1:14">
      <c r="A11" s="206">
        <v>2014</v>
      </c>
      <c r="B11" s="207">
        <v>2039</v>
      </c>
      <c r="C11" s="207">
        <v>358</v>
      </c>
      <c r="D11" s="207">
        <v>236</v>
      </c>
      <c r="E11" s="207">
        <v>250</v>
      </c>
      <c r="F11" s="207">
        <v>670</v>
      </c>
      <c r="G11" s="207">
        <v>477</v>
      </c>
      <c r="H11" s="207">
        <v>206</v>
      </c>
      <c r="I11" s="207">
        <v>389</v>
      </c>
      <c r="J11" s="207">
        <v>403</v>
      </c>
      <c r="K11" s="207">
        <v>288</v>
      </c>
      <c r="L11" s="207">
        <v>402</v>
      </c>
      <c r="M11" s="207">
        <v>372</v>
      </c>
      <c r="N11" s="207">
        <v>6090</v>
      </c>
    </row>
    <row r="12" spans="1:14">
      <c r="A12" s="206">
        <v>2015</v>
      </c>
      <c r="B12" s="207">
        <v>2176</v>
      </c>
      <c r="C12" s="207">
        <v>325</v>
      </c>
      <c r="D12" s="207">
        <v>232</v>
      </c>
      <c r="E12" s="207">
        <v>246</v>
      </c>
      <c r="F12" s="207">
        <v>771</v>
      </c>
      <c r="G12" s="207">
        <v>353</v>
      </c>
      <c r="H12" s="207">
        <v>214</v>
      </c>
      <c r="I12" s="207">
        <v>571</v>
      </c>
      <c r="J12" s="207">
        <v>192</v>
      </c>
      <c r="K12" s="207">
        <v>184</v>
      </c>
      <c r="L12" s="207">
        <v>392</v>
      </c>
      <c r="M12" s="207">
        <v>140</v>
      </c>
      <c r="N12" s="207">
        <v>5796</v>
      </c>
    </row>
    <row r="13" spans="1:14">
      <c r="A13" s="206">
        <v>2016</v>
      </c>
      <c r="B13" s="207">
        <v>1917</v>
      </c>
      <c r="C13" s="207">
        <v>223</v>
      </c>
      <c r="D13" s="207">
        <v>205</v>
      </c>
      <c r="E13" s="207">
        <v>271</v>
      </c>
      <c r="F13" s="207">
        <v>0</v>
      </c>
      <c r="G13" s="207">
        <v>0</v>
      </c>
      <c r="H13" s="207">
        <v>879</v>
      </c>
      <c r="I13" s="207">
        <v>292</v>
      </c>
      <c r="J13" s="207">
        <v>330</v>
      </c>
      <c r="K13" s="207">
        <v>307</v>
      </c>
      <c r="L13" s="207">
        <v>582</v>
      </c>
      <c r="M13" s="207">
        <v>300</v>
      </c>
      <c r="N13" s="207">
        <v>5306</v>
      </c>
    </row>
    <row r="14" spans="1:14">
      <c r="A14" s="206">
        <v>2017</v>
      </c>
      <c r="B14" s="207">
        <v>2287</v>
      </c>
      <c r="C14" s="207">
        <v>70</v>
      </c>
      <c r="D14" s="207">
        <v>83</v>
      </c>
      <c r="E14" s="207">
        <v>0</v>
      </c>
      <c r="F14" s="207">
        <v>0</v>
      </c>
      <c r="G14" s="207">
        <v>0</v>
      </c>
      <c r="H14" s="207">
        <v>0</v>
      </c>
      <c r="I14" s="207">
        <v>0</v>
      </c>
      <c r="J14" s="207">
        <v>0</v>
      </c>
      <c r="K14" s="207">
        <v>0</v>
      </c>
      <c r="L14" s="207">
        <v>0</v>
      </c>
      <c r="M14" s="207">
        <v>0</v>
      </c>
      <c r="N14" s="207">
        <v>2440</v>
      </c>
    </row>
    <row r="16" spans="1:14">
      <c r="A16" s="204" t="s">
        <v>292</v>
      </c>
    </row>
    <row r="17" spans="1:14">
      <c r="A17" s="204" t="s">
        <v>293</v>
      </c>
    </row>
    <row r="18" spans="1:14">
      <c r="A18" s="205" t="s">
        <v>0</v>
      </c>
      <c r="B18" s="188" t="s">
        <v>215</v>
      </c>
      <c r="C18" s="188" t="s">
        <v>218</v>
      </c>
      <c r="D18" s="188" t="s">
        <v>229</v>
      </c>
      <c r="E18" s="188" t="s">
        <v>250</v>
      </c>
      <c r="F18" s="188" t="s">
        <v>251</v>
      </c>
      <c r="G18" s="188" t="s">
        <v>277</v>
      </c>
      <c r="H18" s="188" t="s">
        <v>278</v>
      </c>
      <c r="I18" s="188" t="s">
        <v>283</v>
      </c>
      <c r="J18" s="188" t="s">
        <v>284</v>
      </c>
      <c r="K18" s="188" t="s">
        <v>286</v>
      </c>
      <c r="L18" s="188" t="s">
        <v>290</v>
      </c>
      <c r="M18" s="188" t="s">
        <v>291</v>
      </c>
      <c r="N18" s="188" t="s">
        <v>113</v>
      </c>
    </row>
    <row r="19" spans="1:14">
      <c r="A19" s="206">
        <v>2008</v>
      </c>
      <c r="B19" s="207">
        <v>2</v>
      </c>
      <c r="C19" s="207">
        <v>182</v>
      </c>
      <c r="D19" s="207">
        <v>355</v>
      </c>
      <c r="E19" s="207">
        <v>252</v>
      </c>
      <c r="F19" s="207">
        <v>746</v>
      </c>
      <c r="G19" s="207">
        <v>431</v>
      </c>
      <c r="H19" s="207">
        <v>128</v>
      </c>
      <c r="I19" s="207">
        <v>580</v>
      </c>
      <c r="J19" s="207">
        <v>700</v>
      </c>
      <c r="K19" s="207">
        <v>829</v>
      </c>
      <c r="L19" s="207">
        <v>510</v>
      </c>
      <c r="M19" s="207">
        <v>748</v>
      </c>
      <c r="N19" s="207">
        <v>5463</v>
      </c>
    </row>
    <row r="20" spans="1:14">
      <c r="A20" s="206">
        <v>2009</v>
      </c>
      <c r="B20" s="207">
        <v>137</v>
      </c>
      <c r="C20" s="207">
        <v>418</v>
      </c>
      <c r="D20" s="207">
        <v>429</v>
      </c>
      <c r="E20" s="207">
        <v>93</v>
      </c>
      <c r="F20" s="207">
        <v>208</v>
      </c>
      <c r="G20" s="207">
        <v>423</v>
      </c>
      <c r="H20" s="207">
        <v>487</v>
      </c>
      <c r="I20" s="207">
        <v>121</v>
      </c>
      <c r="J20" s="207">
        <v>281</v>
      </c>
      <c r="K20" s="207">
        <v>332</v>
      </c>
      <c r="L20" s="207">
        <v>443</v>
      </c>
      <c r="M20" s="207">
        <v>490</v>
      </c>
      <c r="N20" s="207">
        <v>3862</v>
      </c>
    </row>
    <row r="21" spans="1:14">
      <c r="A21" s="206">
        <v>2010</v>
      </c>
      <c r="B21" s="207">
        <v>215</v>
      </c>
      <c r="C21" s="207">
        <v>261</v>
      </c>
      <c r="D21" s="207">
        <v>195</v>
      </c>
      <c r="E21" s="207">
        <v>236</v>
      </c>
      <c r="F21" s="207">
        <v>251</v>
      </c>
      <c r="G21" s="207">
        <v>244</v>
      </c>
      <c r="H21" s="207">
        <v>352</v>
      </c>
      <c r="I21" s="207">
        <v>216</v>
      </c>
      <c r="J21" s="207">
        <v>450</v>
      </c>
      <c r="K21" s="207">
        <v>301</v>
      </c>
      <c r="L21" s="207">
        <v>582</v>
      </c>
      <c r="M21" s="207">
        <v>688</v>
      </c>
      <c r="N21" s="207">
        <v>3991</v>
      </c>
    </row>
    <row r="22" spans="1:14">
      <c r="A22" s="206">
        <v>2011</v>
      </c>
      <c r="B22" s="207">
        <v>242</v>
      </c>
      <c r="C22" s="207">
        <v>292</v>
      </c>
      <c r="D22" s="207">
        <v>623</v>
      </c>
      <c r="E22" s="207">
        <v>481</v>
      </c>
      <c r="F22" s="207">
        <v>550</v>
      </c>
      <c r="G22" s="207">
        <v>332</v>
      </c>
      <c r="H22" s="207">
        <v>491</v>
      </c>
      <c r="I22" s="207">
        <v>455</v>
      </c>
      <c r="J22" s="207">
        <v>300</v>
      </c>
      <c r="K22" s="207">
        <v>179</v>
      </c>
      <c r="L22" s="207">
        <v>135</v>
      </c>
      <c r="M22" s="207">
        <v>175</v>
      </c>
      <c r="N22" s="207">
        <v>4255</v>
      </c>
    </row>
    <row r="23" spans="1:14">
      <c r="A23" s="206">
        <v>2012</v>
      </c>
      <c r="B23" s="207">
        <v>0</v>
      </c>
      <c r="C23" s="207">
        <v>0</v>
      </c>
      <c r="D23" s="207">
        <v>507</v>
      </c>
      <c r="E23" s="207">
        <v>1002</v>
      </c>
      <c r="F23" s="207">
        <v>517</v>
      </c>
      <c r="G23" s="207">
        <v>318</v>
      </c>
      <c r="H23" s="207">
        <v>347</v>
      </c>
      <c r="I23" s="207">
        <v>346</v>
      </c>
      <c r="J23" s="207">
        <v>196</v>
      </c>
      <c r="K23" s="207">
        <v>444</v>
      </c>
      <c r="L23" s="207">
        <v>336</v>
      </c>
      <c r="M23" s="207">
        <v>363</v>
      </c>
      <c r="N23" s="207">
        <v>4376</v>
      </c>
    </row>
    <row r="24" spans="1:14">
      <c r="A24" s="206">
        <v>2013</v>
      </c>
      <c r="B24" s="207">
        <v>125</v>
      </c>
      <c r="C24" s="207">
        <v>331</v>
      </c>
      <c r="D24" s="207">
        <v>330</v>
      </c>
      <c r="E24" s="207">
        <v>339</v>
      </c>
      <c r="F24" s="207">
        <v>326</v>
      </c>
      <c r="G24" s="207">
        <v>223</v>
      </c>
      <c r="H24" s="207">
        <v>420</v>
      </c>
      <c r="I24" s="207">
        <v>266</v>
      </c>
      <c r="J24" s="207">
        <v>390</v>
      </c>
      <c r="K24" s="207">
        <v>304</v>
      </c>
      <c r="L24" s="207">
        <v>317</v>
      </c>
      <c r="M24" s="207">
        <v>351</v>
      </c>
      <c r="N24" s="207">
        <v>3722</v>
      </c>
    </row>
    <row r="25" spans="1:14">
      <c r="A25" s="206">
        <v>2014</v>
      </c>
      <c r="B25" s="207">
        <v>214</v>
      </c>
      <c r="C25" s="207">
        <v>284</v>
      </c>
      <c r="D25" s="207">
        <v>249</v>
      </c>
      <c r="E25" s="207">
        <v>237</v>
      </c>
      <c r="F25" s="207">
        <v>357</v>
      </c>
      <c r="G25" s="207">
        <v>275</v>
      </c>
      <c r="H25" s="207">
        <v>278</v>
      </c>
      <c r="I25" s="207">
        <v>88</v>
      </c>
      <c r="J25" s="207">
        <v>244</v>
      </c>
      <c r="K25" s="207">
        <v>245</v>
      </c>
      <c r="L25" s="207">
        <v>145</v>
      </c>
      <c r="M25" s="207">
        <v>342</v>
      </c>
      <c r="N25" s="207">
        <v>2958</v>
      </c>
    </row>
    <row r="26" spans="1:14">
      <c r="A26" s="206">
        <v>2015</v>
      </c>
      <c r="B26" s="207">
        <v>225</v>
      </c>
      <c r="C26" s="207">
        <v>112</v>
      </c>
      <c r="D26" s="207">
        <v>155</v>
      </c>
      <c r="E26" s="207">
        <v>388</v>
      </c>
      <c r="F26" s="207">
        <v>364</v>
      </c>
      <c r="G26" s="207">
        <v>208</v>
      </c>
      <c r="H26" s="207">
        <v>393</v>
      </c>
      <c r="I26" s="207">
        <v>166</v>
      </c>
      <c r="J26" s="207">
        <v>476</v>
      </c>
      <c r="K26" s="207">
        <v>0</v>
      </c>
      <c r="L26" s="207">
        <v>0</v>
      </c>
      <c r="M26" s="207">
        <v>0</v>
      </c>
      <c r="N26" s="207">
        <v>2487</v>
      </c>
    </row>
    <row r="27" spans="1:14">
      <c r="A27" s="206">
        <v>2016</v>
      </c>
      <c r="B27" s="207">
        <v>0</v>
      </c>
      <c r="C27" s="207">
        <v>0</v>
      </c>
      <c r="D27" s="207">
        <v>0</v>
      </c>
      <c r="E27" s="207">
        <v>74</v>
      </c>
      <c r="F27" s="207">
        <v>0</v>
      </c>
      <c r="G27" s="207">
        <v>0</v>
      </c>
      <c r="H27" s="207">
        <v>0</v>
      </c>
      <c r="I27" s="207">
        <v>0</v>
      </c>
      <c r="J27" s="207">
        <v>0</v>
      </c>
      <c r="K27" s="207">
        <v>908</v>
      </c>
      <c r="L27" s="207">
        <v>179</v>
      </c>
      <c r="M27" s="207">
        <v>285</v>
      </c>
      <c r="N27" s="207">
        <v>1446</v>
      </c>
    </row>
    <row r="28" spans="1:14">
      <c r="A28" s="206">
        <v>2017</v>
      </c>
      <c r="B28" s="207">
        <v>0</v>
      </c>
      <c r="C28" s="207">
        <v>62</v>
      </c>
      <c r="D28" s="207">
        <v>247</v>
      </c>
      <c r="E28" s="207">
        <v>0</v>
      </c>
      <c r="F28" s="207">
        <v>0</v>
      </c>
      <c r="G28" s="207">
        <v>0</v>
      </c>
      <c r="H28" s="207">
        <v>0</v>
      </c>
      <c r="I28" s="207">
        <v>0</v>
      </c>
      <c r="J28" s="207">
        <v>0</v>
      </c>
      <c r="K28" s="207">
        <v>0</v>
      </c>
      <c r="L28" s="207">
        <v>0</v>
      </c>
      <c r="M28" s="207">
        <v>0</v>
      </c>
      <c r="N28" s="207">
        <v>309</v>
      </c>
    </row>
    <row r="30" spans="1:14">
      <c r="A30" s="204" t="s">
        <v>294</v>
      </c>
    </row>
    <row r="31" spans="1:14">
      <c r="A31" s="204" t="s">
        <v>388</v>
      </c>
    </row>
    <row r="32" spans="1:14">
      <c r="A32" s="205" t="s">
        <v>0</v>
      </c>
      <c r="B32" s="188" t="s">
        <v>215</v>
      </c>
      <c r="C32" s="188" t="s">
        <v>218</v>
      </c>
      <c r="D32" s="188" t="s">
        <v>229</v>
      </c>
      <c r="E32" s="188" t="s">
        <v>250</v>
      </c>
      <c r="F32" s="188" t="s">
        <v>251</v>
      </c>
      <c r="G32" s="188" t="s">
        <v>277</v>
      </c>
      <c r="H32" s="188" t="s">
        <v>278</v>
      </c>
      <c r="I32" s="188" t="s">
        <v>283</v>
      </c>
      <c r="J32" s="188" t="s">
        <v>284</v>
      </c>
      <c r="K32" s="188" t="s">
        <v>286</v>
      </c>
      <c r="L32" s="188" t="s">
        <v>290</v>
      </c>
      <c r="M32" s="188" t="s">
        <v>291</v>
      </c>
      <c r="N32" s="188" t="s">
        <v>113</v>
      </c>
    </row>
    <row r="33" spans="1:14">
      <c r="A33" s="206">
        <v>2008</v>
      </c>
      <c r="B33" s="207">
        <v>800</v>
      </c>
      <c r="C33" s="207">
        <v>92518</v>
      </c>
      <c r="D33" s="207">
        <v>192433</v>
      </c>
      <c r="E33" s="207">
        <v>141524</v>
      </c>
      <c r="F33" s="207">
        <v>400303</v>
      </c>
      <c r="G33" s="207">
        <v>229588</v>
      </c>
      <c r="H33" s="207">
        <v>70032</v>
      </c>
      <c r="I33" s="207">
        <v>304691</v>
      </c>
      <c r="J33" s="207">
        <v>431052</v>
      </c>
      <c r="K33" s="207">
        <v>498837</v>
      </c>
      <c r="L33" s="207">
        <v>298851</v>
      </c>
      <c r="M33" s="207">
        <v>480402</v>
      </c>
      <c r="N33" s="207">
        <v>3141031</v>
      </c>
    </row>
    <row r="34" spans="1:14">
      <c r="A34" s="206">
        <v>2009</v>
      </c>
      <c r="B34" s="207">
        <v>79054</v>
      </c>
      <c r="C34" s="207">
        <v>233271</v>
      </c>
      <c r="D34" s="207">
        <v>245697</v>
      </c>
      <c r="E34" s="207">
        <v>49862</v>
      </c>
      <c r="F34" s="207">
        <v>128089</v>
      </c>
      <c r="G34" s="207">
        <v>262520</v>
      </c>
      <c r="H34" s="207">
        <v>287412</v>
      </c>
      <c r="I34" s="207">
        <v>58346</v>
      </c>
      <c r="J34" s="207">
        <v>184683</v>
      </c>
      <c r="K34" s="207">
        <v>187909</v>
      </c>
      <c r="L34" s="207">
        <v>239235</v>
      </c>
      <c r="M34" s="207">
        <v>252290</v>
      </c>
      <c r="N34" s="207">
        <v>2208368</v>
      </c>
    </row>
    <row r="35" spans="1:14">
      <c r="A35" s="206">
        <v>2010</v>
      </c>
      <c r="B35" s="207">
        <v>105549</v>
      </c>
      <c r="C35" s="207">
        <v>186481</v>
      </c>
      <c r="D35" s="207">
        <v>113138</v>
      </c>
      <c r="E35" s="207">
        <v>126981</v>
      </c>
      <c r="F35" s="207">
        <v>144408</v>
      </c>
      <c r="G35" s="207">
        <v>153551</v>
      </c>
      <c r="H35" s="207">
        <v>236173</v>
      </c>
      <c r="I35" s="207">
        <v>117965</v>
      </c>
      <c r="J35" s="207">
        <v>274273</v>
      </c>
      <c r="K35" s="207">
        <v>201597</v>
      </c>
      <c r="L35" s="207">
        <v>391211</v>
      </c>
      <c r="M35" s="207">
        <v>445154</v>
      </c>
      <c r="N35" s="207">
        <v>2496481</v>
      </c>
    </row>
    <row r="36" spans="1:14">
      <c r="A36" s="206">
        <v>2011</v>
      </c>
      <c r="B36" s="207">
        <v>161710</v>
      </c>
      <c r="C36" s="207">
        <v>170715</v>
      </c>
      <c r="D36" s="207">
        <v>432702</v>
      </c>
      <c r="E36" s="207">
        <v>390251</v>
      </c>
      <c r="F36" s="207">
        <v>437382</v>
      </c>
      <c r="G36" s="207">
        <v>220084</v>
      </c>
      <c r="H36" s="207">
        <v>342824</v>
      </c>
      <c r="I36" s="207">
        <v>299026</v>
      </c>
      <c r="J36" s="207">
        <v>171908</v>
      </c>
      <c r="K36" s="207">
        <v>171167</v>
      </c>
      <c r="L36" s="207">
        <v>101514</v>
      </c>
      <c r="M36" s="207">
        <v>113158</v>
      </c>
      <c r="N36" s="207">
        <v>3012441</v>
      </c>
    </row>
    <row r="37" spans="1:14">
      <c r="A37" s="206">
        <v>2012</v>
      </c>
      <c r="B37" s="207">
        <v>0</v>
      </c>
      <c r="C37" s="207">
        <v>0</v>
      </c>
      <c r="D37" s="207">
        <v>344770</v>
      </c>
      <c r="E37" s="207">
        <v>600417</v>
      </c>
      <c r="F37" s="207">
        <v>306692</v>
      </c>
      <c r="G37" s="207">
        <v>200734</v>
      </c>
      <c r="H37" s="207">
        <v>230042</v>
      </c>
      <c r="I37" s="207">
        <v>200873</v>
      </c>
      <c r="J37" s="207">
        <v>133315</v>
      </c>
      <c r="K37" s="207">
        <v>287218</v>
      </c>
      <c r="L37" s="207">
        <v>214813</v>
      </c>
      <c r="M37" s="207">
        <v>220432</v>
      </c>
      <c r="N37" s="207">
        <v>2739306</v>
      </c>
    </row>
    <row r="38" spans="1:14">
      <c r="A38" s="206">
        <v>2013</v>
      </c>
      <c r="B38" s="207">
        <v>58586</v>
      </c>
      <c r="C38" s="207">
        <v>147664</v>
      </c>
      <c r="D38" s="207">
        <v>152719</v>
      </c>
      <c r="E38" s="207">
        <v>169137</v>
      </c>
      <c r="F38" s="207">
        <v>158259</v>
      </c>
      <c r="G38" s="207">
        <v>117696</v>
      </c>
      <c r="H38" s="207">
        <v>226659</v>
      </c>
      <c r="I38" s="207">
        <v>141609</v>
      </c>
      <c r="J38" s="207">
        <v>204049</v>
      </c>
      <c r="K38" s="207">
        <v>160318</v>
      </c>
      <c r="L38" s="207">
        <v>150143</v>
      </c>
      <c r="M38" s="207">
        <v>173860</v>
      </c>
      <c r="N38" s="207">
        <v>1860699</v>
      </c>
    </row>
    <row r="39" spans="1:14">
      <c r="A39" s="206">
        <v>2014</v>
      </c>
      <c r="B39" s="207">
        <v>96936</v>
      </c>
      <c r="C39" s="207">
        <v>133326</v>
      </c>
      <c r="D39" s="207">
        <v>129647</v>
      </c>
      <c r="E39" s="207">
        <v>139241</v>
      </c>
      <c r="F39" s="207">
        <v>190666</v>
      </c>
      <c r="G39" s="207">
        <v>126401</v>
      </c>
      <c r="H39" s="207">
        <v>133390</v>
      </c>
      <c r="I39" s="207">
        <v>41694</v>
      </c>
      <c r="J39" s="207">
        <v>127290</v>
      </c>
      <c r="K39" s="207">
        <v>127743</v>
      </c>
      <c r="L39" s="207">
        <v>68142</v>
      </c>
      <c r="M39" s="207">
        <v>180040</v>
      </c>
      <c r="N39" s="207">
        <v>1494516</v>
      </c>
    </row>
    <row r="40" spans="1:14">
      <c r="A40" s="206">
        <v>2015</v>
      </c>
      <c r="B40" s="207">
        <v>110934</v>
      </c>
      <c r="C40" s="207">
        <v>53376</v>
      </c>
      <c r="D40" s="207">
        <v>106585</v>
      </c>
      <c r="E40" s="207">
        <v>228911</v>
      </c>
      <c r="F40" s="207">
        <v>208849</v>
      </c>
      <c r="G40" s="207">
        <v>117497</v>
      </c>
      <c r="H40" s="207">
        <v>210342</v>
      </c>
      <c r="I40" s="207">
        <v>97422</v>
      </c>
      <c r="J40" s="207">
        <v>254018</v>
      </c>
      <c r="K40" s="207">
        <v>0</v>
      </c>
      <c r="L40" s="207">
        <v>0</v>
      </c>
      <c r="M40" s="207">
        <v>0</v>
      </c>
      <c r="N40" s="207">
        <v>1387934</v>
      </c>
    </row>
    <row r="41" spans="1:14">
      <c r="A41" s="206">
        <v>2016</v>
      </c>
      <c r="B41" s="207">
        <v>0</v>
      </c>
      <c r="C41" s="207">
        <v>0</v>
      </c>
      <c r="D41" s="207">
        <v>0</v>
      </c>
      <c r="E41" s="207">
        <v>35313</v>
      </c>
      <c r="F41" s="207">
        <v>0</v>
      </c>
      <c r="G41" s="207">
        <v>0</v>
      </c>
      <c r="H41" s="207">
        <v>0</v>
      </c>
      <c r="I41" s="207">
        <v>0</v>
      </c>
      <c r="J41" s="207">
        <v>0</v>
      </c>
      <c r="K41" s="207">
        <v>427494</v>
      </c>
      <c r="L41" s="207">
        <v>84556</v>
      </c>
      <c r="M41" s="207">
        <v>138372</v>
      </c>
      <c r="N41" s="207">
        <v>685735</v>
      </c>
    </row>
    <row r="42" spans="1:14">
      <c r="A42" s="206">
        <v>2017</v>
      </c>
      <c r="B42" s="207">
        <v>0</v>
      </c>
      <c r="C42" s="207">
        <v>33699</v>
      </c>
      <c r="D42" s="207">
        <v>119341</v>
      </c>
      <c r="E42" s="207">
        <v>0</v>
      </c>
      <c r="F42" s="207">
        <v>0</v>
      </c>
      <c r="G42" s="207">
        <v>0</v>
      </c>
      <c r="H42" s="207">
        <v>0</v>
      </c>
      <c r="I42" s="207">
        <v>0</v>
      </c>
      <c r="J42" s="207">
        <v>0</v>
      </c>
      <c r="K42" s="207">
        <v>0</v>
      </c>
      <c r="L42" s="207">
        <v>0</v>
      </c>
      <c r="M42" s="207">
        <v>0</v>
      </c>
      <c r="N42" s="207">
        <v>153039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36"/>
  <sheetViews>
    <sheetView workbookViewId="0">
      <selection activeCell="L36" sqref="L36"/>
    </sheetView>
  </sheetViews>
  <sheetFormatPr baseColWidth="10" defaultRowHeight="15"/>
  <cols>
    <col min="1" max="1" width="10.7109375" style="291" bestFit="1" customWidth="1"/>
    <col min="2" max="2" width="13.85546875" style="291" bestFit="1" customWidth="1"/>
    <col min="3" max="4" width="12.28515625" style="291" bestFit="1" customWidth="1"/>
    <col min="5" max="7" width="13.85546875" style="291" bestFit="1" customWidth="1"/>
    <col min="8" max="8" width="12.28515625" style="291" bestFit="1" customWidth="1"/>
    <col min="9" max="9" width="13.85546875" style="291" bestFit="1" customWidth="1"/>
    <col min="10" max="225" width="11.42578125" style="291"/>
    <col min="226" max="226" width="10.7109375" style="291" bestFit="1" customWidth="1"/>
    <col min="227" max="227" width="13.85546875" style="291" bestFit="1" customWidth="1"/>
    <col min="228" max="229" width="12.28515625" style="291" bestFit="1" customWidth="1"/>
    <col min="230" max="232" width="13.85546875" style="291" bestFit="1" customWidth="1"/>
    <col min="233" max="233" width="12.28515625" style="291" bestFit="1" customWidth="1"/>
    <col min="234" max="234" width="13.85546875" style="291" bestFit="1" customWidth="1"/>
    <col min="235" max="235" width="11.42578125" style="291"/>
    <col min="236" max="236" width="12.7109375" style="291" bestFit="1" customWidth="1"/>
    <col min="237" max="240" width="11.42578125" style="291"/>
    <col min="241" max="241" width="15.28515625" style="291" bestFit="1" customWidth="1"/>
    <col min="242" max="243" width="13.7109375" style="291" bestFit="1" customWidth="1"/>
    <col min="244" max="247" width="11.42578125" style="291"/>
    <col min="248" max="248" width="31" style="291" bestFit="1" customWidth="1"/>
    <col min="249" max="265" width="11.42578125" style="291"/>
    <col min="266" max="266" width="12.7109375" style="291" bestFit="1" customWidth="1"/>
    <col min="267" max="481" width="11.42578125" style="291"/>
    <col min="482" max="482" width="10.7109375" style="291" bestFit="1" customWidth="1"/>
    <col min="483" max="483" width="13.85546875" style="291" bestFit="1" customWidth="1"/>
    <col min="484" max="485" width="12.28515625" style="291" bestFit="1" customWidth="1"/>
    <col min="486" max="488" width="13.85546875" style="291" bestFit="1" customWidth="1"/>
    <col min="489" max="489" width="12.28515625" style="291" bestFit="1" customWidth="1"/>
    <col min="490" max="490" width="13.85546875" style="291" bestFit="1" customWidth="1"/>
    <col min="491" max="491" width="11.42578125" style="291"/>
    <col min="492" max="492" width="12.7109375" style="291" bestFit="1" customWidth="1"/>
    <col min="493" max="496" width="11.42578125" style="291"/>
    <col min="497" max="497" width="15.28515625" style="291" bestFit="1" customWidth="1"/>
    <col min="498" max="499" width="13.7109375" style="291" bestFit="1" customWidth="1"/>
    <col min="500" max="503" width="11.42578125" style="291"/>
    <col min="504" max="504" width="31" style="291" bestFit="1" customWidth="1"/>
    <col min="505" max="521" width="11.42578125" style="291"/>
    <col min="522" max="522" width="12.7109375" style="291" bestFit="1" customWidth="1"/>
    <col min="523" max="737" width="11.42578125" style="291"/>
    <col min="738" max="738" width="10.7109375" style="291" bestFit="1" customWidth="1"/>
    <col min="739" max="739" width="13.85546875" style="291" bestFit="1" customWidth="1"/>
    <col min="740" max="741" width="12.28515625" style="291" bestFit="1" customWidth="1"/>
    <col min="742" max="744" width="13.85546875" style="291" bestFit="1" customWidth="1"/>
    <col min="745" max="745" width="12.28515625" style="291" bestFit="1" customWidth="1"/>
    <col min="746" max="746" width="13.85546875" style="291" bestFit="1" customWidth="1"/>
    <col min="747" max="747" width="11.42578125" style="291"/>
    <col min="748" max="748" width="12.7109375" style="291" bestFit="1" customWidth="1"/>
    <col min="749" max="752" width="11.42578125" style="291"/>
    <col min="753" max="753" width="15.28515625" style="291" bestFit="1" customWidth="1"/>
    <col min="754" max="755" width="13.7109375" style="291" bestFit="1" customWidth="1"/>
    <col min="756" max="759" width="11.42578125" style="291"/>
    <col min="760" max="760" width="31" style="291" bestFit="1" customWidth="1"/>
    <col min="761" max="777" width="11.42578125" style="291"/>
    <col min="778" max="778" width="12.7109375" style="291" bestFit="1" customWidth="1"/>
    <col min="779" max="993" width="11.42578125" style="291"/>
    <col min="994" max="994" width="10.7109375" style="291" bestFit="1" customWidth="1"/>
    <col min="995" max="995" width="13.85546875" style="291" bestFit="1" customWidth="1"/>
    <col min="996" max="997" width="12.28515625" style="291" bestFit="1" customWidth="1"/>
    <col min="998" max="1000" width="13.85546875" style="291" bestFit="1" customWidth="1"/>
    <col min="1001" max="1001" width="12.28515625" style="291" bestFit="1" customWidth="1"/>
    <col min="1002" max="1002" width="13.85546875" style="291" bestFit="1" customWidth="1"/>
    <col min="1003" max="1003" width="11.42578125" style="291"/>
    <col min="1004" max="1004" width="12.7109375" style="291" bestFit="1" customWidth="1"/>
    <col min="1005" max="1008" width="11.42578125" style="291"/>
    <col min="1009" max="1009" width="15.28515625" style="291" bestFit="1" customWidth="1"/>
    <col min="1010" max="1011" width="13.7109375" style="291" bestFit="1" customWidth="1"/>
    <col min="1012" max="1015" width="11.42578125" style="291"/>
    <col min="1016" max="1016" width="31" style="291" bestFit="1" customWidth="1"/>
    <col min="1017" max="1033" width="11.42578125" style="291"/>
    <col min="1034" max="1034" width="12.7109375" style="291" bestFit="1" customWidth="1"/>
    <col min="1035" max="1249" width="11.42578125" style="291"/>
    <col min="1250" max="1250" width="10.7109375" style="291" bestFit="1" customWidth="1"/>
    <col min="1251" max="1251" width="13.85546875" style="291" bestFit="1" customWidth="1"/>
    <col min="1252" max="1253" width="12.28515625" style="291" bestFit="1" customWidth="1"/>
    <col min="1254" max="1256" width="13.85546875" style="291" bestFit="1" customWidth="1"/>
    <col min="1257" max="1257" width="12.28515625" style="291" bestFit="1" customWidth="1"/>
    <col min="1258" max="1258" width="13.85546875" style="291" bestFit="1" customWidth="1"/>
    <col min="1259" max="1259" width="11.42578125" style="291"/>
    <col min="1260" max="1260" width="12.7109375" style="291" bestFit="1" customWidth="1"/>
    <col min="1261" max="1264" width="11.42578125" style="291"/>
    <col min="1265" max="1265" width="15.28515625" style="291" bestFit="1" customWidth="1"/>
    <col min="1266" max="1267" width="13.7109375" style="291" bestFit="1" customWidth="1"/>
    <col min="1268" max="1271" width="11.42578125" style="291"/>
    <col min="1272" max="1272" width="31" style="291" bestFit="1" customWidth="1"/>
    <col min="1273" max="1289" width="11.42578125" style="291"/>
    <col min="1290" max="1290" width="12.7109375" style="291" bestFit="1" customWidth="1"/>
    <col min="1291" max="1505" width="11.42578125" style="291"/>
    <col min="1506" max="1506" width="10.7109375" style="291" bestFit="1" customWidth="1"/>
    <col min="1507" max="1507" width="13.85546875" style="291" bestFit="1" customWidth="1"/>
    <col min="1508" max="1509" width="12.28515625" style="291" bestFit="1" customWidth="1"/>
    <col min="1510" max="1512" width="13.85546875" style="291" bestFit="1" customWidth="1"/>
    <col min="1513" max="1513" width="12.28515625" style="291" bestFit="1" customWidth="1"/>
    <col min="1514" max="1514" width="13.85546875" style="291" bestFit="1" customWidth="1"/>
    <col min="1515" max="1515" width="11.42578125" style="291"/>
    <col min="1516" max="1516" width="12.7109375" style="291" bestFit="1" customWidth="1"/>
    <col min="1517" max="1520" width="11.42578125" style="291"/>
    <col min="1521" max="1521" width="15.28515625" style="291" bestFit="1" customWidth="1"/>
    <col min="1522" max="1523" width="13.7109375" style="291" bestFit="1" customWidth="1"/>
    <col min="1524" max="1527" width="11.42578125" style="291"/>
    <col min="1528" max="1528" width="31" style="291" bestFit="1" customWidth="1"/>
    <col min="1529" max="1545" width="11.42578125" style="291"/>
    <col min="1546" max="1546" width="12.7109375" style="291" bestFit="1" customWidth="1"/>
    <col min="1547" max="1761" width="11.42578125" style="291"/>
    <col min="1762" max="1762" width="10.7109375" style="291" bestFit="1" customWidth="1"/>
    <col min="1763" max="1763" width="13.85546875" style="291" bestFit="1" customWidth="1"/>
    <col min="1764" max="1765" width="12.28515625" style="291" bestFit="1" customWidth="1"/>
    <col min="1766" max="1768" width="13.85546875" style="291" bestFit="1" customWidth="1"/>
    <col min="1769" max="1769" width="12.28515625" style="291" bestFit="1" customWidth="1"/>
    <col min="1770" max="1770" width="13.85546875" style="291" bestFit="1" customWidth="1"/>
    <col min="1771" max="1771" width="11.42578125" style="291"/>
    <col min="1772" max="1772" width="12.7109375" style="291" bestFit="1" customWidth="1"/>
    <col min="1773" max="1776" width="11.42578125" style="291"/>
    <col min="1777" max="1777" width="15.28515625" style="291" bestFit="1" customWidth="1"/>
    <col min="1778" max="1779" width="13.7109375" style="291" bestFit="1" customWidth="1"/>
    <col min="1780" max="1783" width="11.42578125" style="291"/>
    <col min="1784" max="1784" width="31" style="291" bestFit="1" customWidth="1"/>
    <col min="1785" max="1801" width="11.42578125" style="291"/>
    <col min="1802" max="1802" width="12.7109375" style="291" bestFit="1" customWidth="1"/>
    <col min="1803" max="2017" width="11.42578125" style="291"/>
    <col min="2018" max="2018" width="10.7109375" style="291" bestFit="1" customWidth="1"/>
    <col min="2019" max="2019" width="13.85546875" style="291" bestFit="1" customWidth="1"/>
    <col min="2020" max="2021" width="12.28515625" style="291" bestFit="1" customWidth="1"/>
    <col min="2022" max="2024" width="13.85546875" style="291" bestFit="1" customWidth="1"/>
    <col min="2025" max="2025" width="12.28515625" style="291" bestFit="1" customWidth="1"/>
    <col min="2026" max="2026" width="13.85546875" style="291" bestFit="1" customWidth="1"/>
    <col min="2027" max="2027" width="11.42578125" style="291"/>
    <col min="2028" max="2028" width="12.7109375" style="291" bestFit="1" customWidth="1"/>
    <col min="2029" max="2032" width="11.42578125" style="291"/>
    <col min="2033" max="2033" width="15.28515625" style="291" bestFit="1" customWidth="1"/>
    <col min="2034" max="2035" width="13.7109375" style="291" bestFit="1" customWidth="1"/>
    <col min="2036" max="2039" width="11.42578125" style="291"/>
    <col min="2040" max="2040" width="31" style="291" bestFit="1" customWidth="1"/>
    <col min="2041" max="2057" width="11.42578125" style="291"/>
    <col min="2058" max="2058" width="12.7109375" style="291" bestFit="1" customWidth="1"/>
    <col min="2059" max="2273" width="11.42578125" style="291"/>
    <col min="2274" max="2274" width="10.7109375" style="291" bestFit="1" customWidth="1"/>
    <col min="2275" max="2275" width="13.85546875" style="291" bestFit="1" customWidth="1"/>
    <col min="2276" max="2277" width="12.28515625" style="291" bestFit="1" customWidth="1"/>
    <col min="2278" max="2280" width="13.85546875" style="291" bestFit="1" customWidth="1"/>
    <col min="2281" max="2281" width="12.28515625" style="291" bestFit="1" customWidth="1"/>
    <col min="2282" max="2282" width="13.85546875" style="291" bestFit="1" customWidth="1"/>
    <col min="2283" max="2283" width="11.42578125" style="291"/>
    <col min="2284" max="2284" width="12.7109375" style="291" bestFit="1" customWidth="1"/>
    <col min="2285" max="2288" width="11.42578125" style="291"/>
    <col min="2289" max="2289" width="15.28515625" style="291" bestFit="1" customWidth="1"/>
    <col min="2290" max="2291" width="13.7109375" style="291" bestFit="1" customWidth="1"/>
    <col min="2292" max="2295" width="11.42578125" style="291"/>
    <col min="2296" max="2296" width="31" style="291" bestFit="1" customWidth="1"/>
    <col min="2297" max="2313" width="11.42578125" style="291"/>
    <col min="2314" max="2314" width="12.7109375" style="291" bestFit="1" customWidth="1"/>
    <col min="2315" max="2529" width="11.42578125" style="291"/>
    <col min="2530" max="2530" width="10.7109375" style="291" bestFit="1" customWidth="1"/>
    <col min="2531" max="2531" width="13.85546875" style="291" bestFit="1" customWidth="1"/>
    <col min="2532" max="2533" width="12.28515625" style="291" bestFit="1" customWidth="1"/>
    <col min="2534" max="2536" width="13.85546875" style="291" bestFit="1" customWidth="1"/>
    <col min="2537" max="2537" width="12.28515625" style="291" bestFit="1" customWidth="1"/>
    <col min="2538" max="2538" width="13.85546875" style="291" bestFit="1" customWidth="1"/>
    <col min="2539" max="2539" width="11.42578125" style="291"/>
    <col min="2540" max="2540" width="12.7109375" style="291" bestFit="1" customWidth="1"/>
    <col min="2541" max="2544" width="11.42578125" style="291"/>
    <col min="2545" max="2545" width="15.28515625" style="291" bestFit="1" customWidth="1"/>
    <col min="2546" max="2547" width="13.7109375" style="291" bestFit="1" customWidth="1"/>
    <col min="2548" max="2551" width="11.42578125" style="291"/>
    <col min="2552" max="2552" width="31" style="291" bestFit="1" customWidth="1"/>
    <col min="2553" max="2569" width="11.42578125" style="291"/>
    <col min="2570" max="2570" width="12.7109375" style="291" bestFit="1" customWidth="1"/>
    <col min="2571" max="2785" width="11.42578125" style="291"/>
    <col min="2786" max="2786" width="10.7109375" style="291" bestFit="1" customWidth="1"/>
    <col min="2787" max="2787" width="13.85546875" style="291" bestFit="1" customWidth="1"/>
    <col min="2788" max="2789" width="12.28515625" style="291" bestFit="1" customWidth="1"/>
    <col min="2790" max="2792" width="13.85546875" style="291" bestFit="1" customWidth="1"/>
    <col min="2793" max="2793" width="12.28515625" style="291" bestFit="1" customWidth="1"/>
    <col min="2794" max="2794" width="13.85546875" style="291" bestFit="1" customWidth="1"/>
    <col min="2795" max="2795" width="11.42578125" style="291"/>
    <col min="2796" max="2796" width="12.7109375" style="291" bestFit="1" customWidth="1"/>
    <col min="2797" max="2800" width="11.42578125" style="291"/>
    <col min="2801" max="2801" width="15.28515625" style="291" bestFit="1" customWidth="1"/>
    <col min="2802" max="2803" width="13.7109375" style="291" bestFit="1" customWidth="1"/>
    <col min="2804" max="2807" width="11.42578125" style="291"/>
    <col min="2808" max="2808" width="31" style="291" bestFit="1" customWidth="1"/>
    <col min="2809" max="2825" width="11.42578125" style="291"/>
    <col min="2826" max="2826" width="12.7109375" style="291" bestFit="1" customWidth="1"/>
    <col min="2827" max="3041" width="11.42578125" style="291"/>
    <col min="3042" max="3042" width="10.7109375" style="291" bestFit="1" customWidth="1"/>
    <col min="3043" max="3043" width="13.85546875" style="291" bestFit="1" customWidth="1"/>
    <col min="3044" max="3045" width="12.28515625" style="291" bestFit="1" customWidth="1"/>
    <col min="3046" max="3048" width="13.85546875" style="291" bestFit="1" customWidth="1"/>
    <col min="3049" max="3049" width="12.28515625" style="291" bestFit="1" customWidth="1"/>
    <col min="3050" max="3050" width="13.85546875" style="291" bestFit="1" customWidth="1"/>
    <col min="3051" max="3051" width="11.42578125" style="291"/>
    <col min="3052" max="3052" width="12.7109375" style="291" bestFit="1" customWidth="1"/>
    <col min="3053" max="3056" width="11.42578125" style="291"/>
    <col min="3057" max="3057" width="15.28515625" style="291" bestFit="1" customWidth="1"/>
    <col min="3058" max="3059" width="13.7109375" style="291" bestFit="1" customWidth="1"/>
    <col min="3060" max="3063" width="11.42578125" style="291"/>
    <col min="3064" max="3064" width="31" style="291" bestFit="1" customWidth="1"/>
    <col min="3065" max="3081" width="11.42578125" style="291"/>
    <col min="3082" max="3082" width="12.7109375" style="291" bestFit="1" customWidth="1"/>
    <col min="3083" max="3297" width="11.42578125" style="291"/>
    <col min="3298" max="3298" width="10.7109375" style="291" bestFit="1" customWidth="1"/>
    <col min="3299" max="3299" width="13.85546875" style="291" bestFit="1" customWidth="1"/>
    <col min="3300" max="3301" width="12.28515625" style="291" bestFit="1" customWidth="1"/>
    <col min="3302" max="3304" width="13.85546875" style="291" bestFit="1" customWidth="1"/>
    <col min="3305" max="3305" width="12.28515625" style="291" bestFit="1" customWidth="1"/>
    <col min="3306" max="3306" width="13.85546875" style="291" bestFit="1" customWidth="1"/>
    <col min="3307" max="3307" width="11.42578125" style="291"/>
    <col min="3308" max="3308" width="12.7109375" style="291" bestFit="1" customWidth="1"/>
    <col min="3309" max="3312" width="11.42578125" style="291"/>
    <col min="3313" max="3313" width="15.28515625" style="291" bestFit="1" customWidth="1"/>
    <col min="3314" max="3315" width="13.7109375" style="291" bestFit="1" customWidth="1"/>
    <col min="3316" max="3319" width="11.42578125" style="291"/>
    <col min="3320" max="3320" width="31" style="291" bestFit="1" customWidth="1"/>
    <col min="3321" max="3337" width="11.42578125" style="291"/>
    <col min="3338" max="3338" width="12.7109375" style="291" bestFit="1" customWidth="1"/>
    <col min="3339" max="3553" width="11.42578125" style="291"/>
    <col min="3554" max="3554" width="10.7109375" style="291" bestFit="1" customWidth="1"/>
    <col min="3555" max="3555" width="13.85546875" style="291" bestFit="1" customWidth="1"/>
    <col min="3556" max="3557" width="12.28515625" style="291" bestFit="1" customWidth="1"/>
    <col min="3558" max="3560" width="13.85546875" style="291" bestFit="1" customWidth="1"/>
    <col min="3561" max="3561" width="12.28515625" style="291" bestFit="1" customWidth="1"/>
    <col min="3562" max="3562" width="13.85546875" style="291" bestFit="1" customWidth="1"/>
    <col min="3563" max="3563" width="11.42578125" style="291"/>
    <col min="3564" max="3564" width="12.7109375" style="291" bestFit="1" customWidth="1"/>
    <col min="3565" max="3568" width="11.42578125" style="291"/>
    <col min="3569" max="3569" width="15.28515625" style="291" bestFit="1" customWidth="1"/>
    <col min="3570" max="3571" width="13.7109375" style="291" bestFit="1" customWidth="1"/>
    <col min="3572" max="3575" width="11.42578125" style="291"/>
    <col min="3576" max="3576" width="31" style="291" bestFit="1" customWidth="1"/>
    <col min="3577" max="3593" width="11.42578125" style="291"/>
    <col min="3594" max="3594" width="12.7109375" style="291" bestFit="1" customWidth="1"/>
    <col min="3595" max="3809" width="11.42578125" style="291"/>
    <col min="3810" max="3810" width="10.7109375" style="291" bestFit="1" customWidth="1"/>
    <col min="3811" max="3811" width="13.85546875" style="291" bestFit="1" customWidth="1"/>
    <col min="3812" max="3813" width="12.28515625" style="291" bestFit="1" customWidth="1"/>
    <col min="3814" max="3816" width="13.85546875" style="291" bestFit="1" customWidth="1"/>
    <col min="3817" max="3817" width="12.28515625" style="291" bestFit="1" customWidth="1"/>
    <col min="3818" max="3818" width="13.85546875" style="291" bestFit="1" customWidth="1"/>
    <col min="3819" max="3819" width="11.42578125" style="291"/>
    <col min="3820" max="3820" width="12.7109375" style="291" bestFit="1" customWidth="1"/>
    <col min="3821" max="3824" width="11.42578125" style="291"/>
    <col min="3825" max="3825" width="15.28515625" style="291" bestFit="1" customWidth="1"/>
    <col min="3826" max="3827" width="13.7109375" style="291" bestFit="1" customWidth="1"/>
    <col min="3828" max="3831" width="11.42578125" style="291"/>
    <col min="3832" max="3832" width="31" style="291" bestFit="1" customWidth="1"/>
    <col min="3833" max="3849" width="11.42578125" style="291"/>
    <col min="3850" max="3850" width="12.7109375" style="291" bestFit="1" customWidth="1"/>
    <col min="3851" max="4065" width="11.42578125" style="291"/>
    <col min="4066" max="4066" width="10.7109375" style="291" bestFit="1" customWidth="1"/>
    <col min="4067" max="4067" width="13.85546875" style="291" bestFit="1" customWidth="1"/>
    <col min="4068" max="4069" width="12.28515625" style="291" bestFit="1" customWidth="1"/>
    <col min="4070" max="4072" width="13.85546875" style="291" bestFit="1" customWidth="1"/>
    <col min="4073" max="4073" width="12.28515625" style="291" bestFit="1" customWidth="1"/>
    <col min="4074" max="4074" width="13.85546875" style="291" bestFit="1" customWidth="1"/>
    <col min="4075" max="4075" width="11.42578125" style="291"/>
    <col min="4076" max="4076" width="12.7109375" style="291" bestFit="1" customWidth="1"/>
    <col min="4077" max="4080" width="11.42578125" style="291"/>
    <col min="4081" max="4081" width="15.28515625" style="291" bestFit="1" customWidth="1"/>
    <col min="4082" max="4083" width="13.7109375" style="291" bestFit="1" customWidth="1"/>
    <col min="4084" max="4087" width="11.42578125" style="291"/>
    <col min="4088" max="4088" width="31" style="291" bestFit="1" customWidth="1"/>
    <col min="4089" max="4105" width="11.42578125" style="291"/>
    <col min="4106" max="4106" width="12.7109375" style="291" bestFit="1" customWidth="1"/>
    <col min="4107" max="4321" width="11.42578125" style="291"/>
    <col min="4322" max="4322" width="10.7109375" style="291" bestFit="1" customWidth="1"/>
    <col min="4323" max="4323" width="13.85546875" style="291" bestFit="1" customWidth="1"/>
    <col min="4324" max="4325" width="12.28515625" style="291" bestFit="1" customWidth="1"/>
    <col min="4326" max="4328" width="13.85546875" style="291" bestFit="1" customWidth="1"/>
    <col min="4329" max="4329" width="12.28515625" style="291" bestFit="1" customWidth="1"/>
    <col min="4330" max="4330" width="13.85546875" style="291" bestFit="1" customWidth="1"/>
    <col min="4331" max="4331" width="11.42578125" style="291"/>
    <col min="4332" max="4332" width="12.7109375" style="291" bestFit="1" customWidth="1"/>
    <col min="4333" max="4336" width="11.42578125" style="291"/>
    <col min="4337" max="4337" width="15.28515625" style="291" bestFit="1" customWidth="1"/>
    <col min="4338" max="4339" width="13.7109375" style="291" bestFit="1" customWidth="1"/>
    <col min="4340" max="4343" width="11.42578125" style="291"/>
    <col min="4344" max="4344" width="31" style="291" bestFit="1" customWidth="1"/>
    <col min="4345" max="4361" width="11.42578125" style="291"/>
    <col min="4362" max="4362" width="12.7109375" style="291" bestFit="1" customWidth="1"/>
    <col min="4363" max="4577" width="11.42578125" style="291"/>
    <col min="4578" max="4578" width="10.7109375" style="291" bestFit="1" customWidth="1"/>
    <col min="4579" max="4579" width="13.85546875" style="291" bestFit="1" customWidth="1"/>
    <col min="4580" max="4581" width="12.28515625" style="291" bestFit="1" customWidth="1"/>
    <col min="4582" max="4584" width="13.85546875" style="291" bestFit="1" customWidth="1"/>
    <col min="4585" max="4585" width="12.28515625" style="291" bestFit="1" customWidth="1"/>
    <col min="4586" max="4586" width="13.85546875" style="291" bestFit="1" customWidth="1"/>
    <col min="4587" max="4587" width="11.42578125" style="291"/>
    <col min="4588" max="4588" width="12.7109375" style="291" bestFit="1" customWidth="1"/>
    <col min="4589" max="4592" width="11.42578125" style="291"/>
    <col min="4593" max="4593" width="15.28515625" style="291" bestFit="1" customWidth="1"/>
    <col min="4594" max="4595" width="13.7109375" style="291" bestFit="1" customWidth="1"/>
    <col min="4596" max="4599" width="11.42578125" style="291"/>
    <col min="4600" max="4600" width="31" style="291" bestFit="1" customWidth="1"/>
    <col min="4601" max="4617" width="11.42578125" style="291"/>
    <col min="4618" max="4618" width="12.7109375" style="291" bestFit="1" customWidth="1"/>
    <col min="4619" max="4833" width="11.42578125" style="291"/>
    <col min="4834" max="4834" width="10.7109375" style="291" bestFit="1" customWidth="1"/>
    <col min="4835" max="4835" width="13.85546875" style="291" bestFit="1" customWidth="1"/>
    <col min="4836" max="4837" width="12.28515625" style="291" bestFit="1" customWidth="1"/>
    <col min="4838" max="4840" width="13.85546875" style="291" bestFit="1" customWidth="1"/>
    <col min="4841" max="4841" width="12.28515625" style="291" bestFit="1" customWidth="1"/>
    <col min="4842" max="4842" width="13.85546875" style="291" bestFit="1" customWidth="1"/>
    <col min="4843" max="4843" width="11.42578125" style="291"/>
    <col min="4844" max="4844" width="12.7109375" style="291" bestFit="1" customWidth="1"/>
    <col min="4845" max="4848" width="11.42578125" style="291"/>
    <col min="4849" max="4849" width="15.28515625" style="291" bestFit="1" customWidth="1"/>
    <col min="4850" max="4851" width="13.7109375" style="291" bestFit="1" customWidth="1"/>
    <col min="4852" max="4855" width="11.42578125" style="291"/>
    <col min="4856" max="4856" width="31" style="291" bestFit="1" customWidth="1"/>
    <col min="4857" max="4873" width="11.42578125" style="291"/>
    <col min="4874" max="4874" width="12.7109375" style="291" bestFit="1" customWidth="1"/>
    <col min="4875" max="5089" width="11.42578125" style="291"/>
    <col min="5090" max="5090" width="10.7109375" style="291" bestFit="1" customWidth="1"/>
    <col min="5091" max="5091" width="13.85546875" style="291" bestFit="1" customWidth="1"/>
    <col min="5092" max="5093" width="12.28515625" style="291" bestFit="1" customWidth="1"/>
    <col min="5094" max="5096" width="13.85546875" style="291" bestFit="1" customWidth="1"/>
    <col min="5097" max="5097" width="12.28515625" style="291" bestFit="1" customWidth="1"/>
    <col min="5098" max="5098" width="13.85546875" style="291" bestFit="1" customWidth="1"/>
    <col min="5099" max="5099" width="11.42578125" style="291"/>
    <col min="5100" max="5100" width="12.7109375" style="291" bestFit="1" customWidth="1"/>
    <col min="5101" max="5104" width="11.42578125" style="291"/>
    <col min="5105" max="5105" width="15.28515625" style="291" bestFit="1" customWidth="1"/>
    <col min="5106" max="5107" width="13.7109375" style="291" bestFit="1" customWidth="1"/>
    <col min="5108" max="5111" width="11.42578125" style="291"/>
    <col min="5112" max="5112" width="31" style="291" bestFit="1" customWidth="1"/>
    <col min="5113" max="5129" width="11.42578125" style="291"/>
    <col min="5130" max="5130" width="12.7109375" style="291" bestFit="1" customWidth="1"/>
    <col min="5131" max="5345" width="11.42578125" style="291"/>
    <col min="5346" max="5346" width="10.7109375" style="291" bestFit="1" customWidth="1"/>
    <col min="5347" max="5347" width="13.85546875" style="291" bestFit="1" customWidth="1"/>
    <col min="5348" max="5349" width="12.28515625" style="291" bestFit="1" customWidth="1"/>
    <col min="5350" max="5352" width="13.85546875" style="291" bestFit="1" customWidth="1"/>
    <col min="5353" max="5353" width="12.28515625" style="291" bestFit="1" customWidth="1"/>
    <col min="5354" max="5354" width="13.85546875" style="291" bestFit="1" customWidth="1"/>
    <col min="5355" max="5355" width="11.42578125" style="291"/>
    <col min="5356" max="5356" width="12.7109375" style="291" bestFit="1" customWidth="1"/>
    <col min="5357" max="5360" width="11.42578125" style="291"/>
    <col min="5361" max="5361" width="15.28515625" style="291" bestFit="1" customWidth="1"/>
    <col min="5362" max="5363" width="13.7109375" style="291" bestFit="1" customWidth="1"/>
    <col min="5364" max="5367" width="11.42578125" style="291"/>
    <col min="5368" max="5368" width="31" style="291" bestFit="1" customWidth="1"/>
    <col min="5369" max="5385" width="11.42578125" style="291"/>
    <col min="5386" max="5386" width="12.7109375" style="291" bestFit="1" customWidth="1"/>
    <col min="5387" max="5601" width="11.42578125" style="291"/>
    <col min="5602" max="5602" width="10.7109375" style="291" bestFit="1" customWidth="1"/>
    <col min="5603" max="5603" width="13.85546875" style="291" bestFit="1" customWidth="1"/>
    <col min="5604" max="5605" width="12.28515625" style="291" bestFit="1" customWidth="1"/>
    <col min="5606" max="5608" width="13.85546875" style="291" bestFit="1" customWidth="1"/>
    <col min="5609" max="5609" width="12.28515625" style="291" bestFit="1" customWidth="1"/>
    <col min="5610" max="5610" width="13.85546875" style="291" bestFit="1" customWidth="1"/>
    <col min="5611" max="5611" width="11.42578125" style="291"/>
    <col min="5612" max="5612" width="12.7109375" style="291" bestFit="1" customWidth="1"/>
    <col min="5613" max="5616" width="11.42578125" style="291"/>
    <col min="5617" max="5617" width="15.28515625" style="291" bestFit="1" customWidth="1"/>
    <col min="5618" max="5619" width="13.7109375" style="291" bestFit="1" customWidth="1"/>
    <col min="5620" max="5623" width="11.42578125" style="291"/>
    <col min="5624" max="5624" width="31" style="291" bestFit="1" customWidth="1"/>
    <col min="5625" max="5641" width="11.42578125" style="291"/>
    <col min="5642" max="5642" width="12.7109375" style="291" bestFit="1" customWidth="1"/>
    <col min="5643" max="5857" width="11.42578125" style="291"/>
    <col min="5858" max="5858" width="10.7109375" style="291" bestFit="1" customWidth="1"/>
    <col min="5859" max="5859" width="13.85546875" style="291" bestFit="1" customWidth="1"/>
    <col min="5860" max="5861" width="12.28515625" style="291" bestFit="1" customWidth="1"/>
    <col min="5862" max="5864" width="13.85546875" style="291" bestFit="1" customWidth="1"/>
    <col min="5865" max="5865" width="12.28515625" style="291" bestFit="1" customWidth="1"/>
    <col min="5866" max="5866" width="13.85546875" style="291" bestFit="1" customWidth="1"/>
    <col min="5867" max="5867" width="11.42578125" style="291"/>
    <col min="5868" max="5868" width="12.7109375" style="291" bestFit="1" customWidth="1"/>
    <col min="5869" max="5872" width="11.42578125" style="291"/>
    <col min="5873" max="5873" width="15.28515625" style="291" bestFit="1" customWidth="1"/>
    <col min="5874" max="5875" width="13.7109375" style="291" bestFit="1" customWidth="1"/>
    <col min="5876" max="5879" width="11.42578125" style="291"/>
    <col min="5880" max="5880" width="31" style="291" bestFit="1" customWidth="1"/>
    <col min="5881" max="5897" width="11.42578125" style="291"/>
    <col min="5898" max="5898" width="12.7109375" style="291" bestFit="1" customWidth="1"/>
    <col min="5899" max="6113" width="11.42578125" style="291"/>
    <col min="6114" max="6114" width="10.7109375" style="291" bestFit="1" customWidth="1"/>
    <col min="6115" max="6115" width="13.85546875" style="291" bestFit="1" customWidth="1"/>
    <col min="6116" max="6117" width="12.28515625" style="291" bestFit="1" customWidth="1"/>
    <col min="6118" max="6120" width="13.85546875" style="291" bestFit="1" customWidth="1"/>
    <col min="6121" max="6121" width="12.28515625" style="291" bestFit="1" customWidth="1"/>
    <col min="6122" max="6122" width="13.85546875" style="291" bestFit="1" customWidth="1"/>
    <col min="6123" max="6123" width="11.42578125" style="291"/>
    <col min="6124" max="6124" width="12.7109375" style="291" bestFit="1" customWidth="1"/>
    <col min="6125" max="6128" width="11.42578125" style="291"/>
    <col min="6129" max="6129" width="15.28515625" style="291" bestFit="1" customWidth="1"/>
    <col min="6130" max="6131" width="13.7109375" style="291" bestFit="1" customWidth="1"/>
    <col min="6132" max="6135" width="11.42578125" style="291"/>
    <col min="6136" max="6136" width="31" style="291" bestFit="1" customWidth="1"/>
    <col min="6137" max="6153" width="11.42578125" style="291"/>
    <col min="6154" max="6154" width="12.7109375" style="291" bestFit="1" customWidth="1"/>
    <col min="6155" max="6369" width="11.42578125" style="291"/>
    <col min="6370" max="6370" width="10.7109375" style="291" bestFit="1" customWidth="1"/>
    <col min="6371" max="6371" width="13.85546875" style="291" bestFit="1" customWidth="1"/>
    <col min="6372" max="6373" width="12.28515625" style="291" bestFit="1" customWidth="1"/>
    <col min="6374" max="6376" width="13.85546875" style="291" bestFit="1" customWidth="1"/>
    <col min="6377" max="6377" width="12.28515625" style="291" bestFit="1" customWidth="1"/>
    <col min="6378" max="6378" width="13.85546875" style="291" bestFit="1" customWidth="1"/>
    <col min="6379" max="6379" width="11.42578125" style="291"/>
    <col min="6380" max="6380" width="12.7109375" style="291" bestFit="1" customWidth="1"/>
    <col min="6381" max="6384" width="11.42578125" style="291"/>
    <col min="6385" max="6385" width="15.28515625" style="291" bestFit="1" customWidth="1"/>
    <col min="6386" max="6387" width="13.7109375" style="291" bestFit="1" customWidth="1"/>
    <col min="6388" max="6391" width="11.42578125" style="291"/>
    <col min="6392" max="6392" width="31" style="291" bestFit="1" customWidth="1"/>
    <col min="6393" max="6409" width="11.42578125" style="291"/>
    <col min="6410" max="6410" width="12.7109375" style="291" bestFit="1" customWidth="1"/>
    <col min="6411" max="6625" width="11.42578125" style="291"/>
    <col min="6626" max="6626" width="10.7109375" style="291" bestFit="1" customWidth="1"/>
    <col min="6627" max="6627" width="13.85546875" style="291" bestFit="1" customWidth="1"/>
    <col min="6628" max="6629" width="12.28515625" style="291" bestFit="1" customWidth="1"/>
    <col min="6630" max="6632" width="13.85546875" style="291" bestFit="1" customWidth="1"/>
    <col min="6633" max="6633" width="12.28515625" style="291" bestFit="1" customWidth="1"/>
    <col min="6634" max="6634" width="13.85546875" style="291" bestFit="1" customWidth="1"/>
    <col min="6635" max="6635" width="11.42578125" style="291"/>
    <col min="6636" max="6636" width="12.7109375" style="291" bestFit="1" customWidth="1"/>
    <col min="6637" max="6640" width="11.42578125" style="291"/>
    <col min="6641" max="6641" width="15.28515625" style="291" bestFit="1" customWidth="1"/>
    <col min="6642" max="6643" width="13.7109375" style="291" bestFit="1" customWidth="1"/>
    <col min="6644" max="6647" width="11.42578125" style="291"/>
    <col min="6648" max="6648" width="31" style="291" bestFit="1" customWidth="1"/>
    <col min="6649" max="6665" width="11.42578125" style="291"/>
    <col min="6666" max="6666" width="12.7109375" style="291" bestFit="1" customWidth="1"/>
    <col min="6667" max="6881" width="11.42578125" style="291"/>
    <col min="6882" max="6882" width="10.7109375" style="291" bestFit="1" customWidth="1"/>
    <col min="6883" max="6883" width="13.85546875" style="291" bestFit="1" customWidth="1"/>
    <col min="6884" max="6885" width="12.28515625" style="291" bestFit="1" customWidth="1"/>
    <col min="6886" max="6888" width="13.85546875" style="291" bestFit="1" customWidth="1"/>
    <col min="6889" max="6889" width="12.28515625" style="291" bestFit="1" customWidth="1"/>
    <col min="6890" max="6890" width="13.85546875" style="291" bestFit="1" customWidth="1"/>
    <col min="6891" max="6891" width="11.42578125" style="291"/>
    <col min="6892" max="6892" width="12.7109375" style="291" bestFit="1" customWidth="1"/>
    <col min="6893" max="6896" width="11.42578125" style="291"/>
    <col min="6897" max="6897" width="15.28515625" style="291" bestFit="1" customWidth="1"/>
    <col min="6898" max="6899" width="13.7109375" style="291" bestFit="1" customWidth="1"/>
    <col min="6900" max="6903" width="11.42578125" style="291"/>
    <col min="6904" max="6904" width="31" style="291" bestFit="1" customWidth="1"/>
    <col min="6905" max="6921" width="11.42578125" style="291"/>
    <col min="6922" max="6922" width="12.7109375" style="291" bestFit="1" customWidth="1"/>
    <col min="6923" max="7137" width="11.42578125" style="291"/>
    <col min="7138" max="7138" width="10.7109375" style="291" bestFit="1" customWidth="1"/>
    <col min="7139" max="7139" width="13.85546875" style="291" bestFit="1" customWidth="1"/>
    <col min="7140" max="7141" width="12.28515625" style="291" bestFit="1" customWidth="1"/>
    <col min="7142" max="7144" width="13.85546875" style="291" bestFit="1" customWidth="1"/>
    <col min="7145" max="7145" width="12.28515625" style="291" bestFit="1" customWidth="1"/>
    <col min="7146" max="7146" width="13.85546875" style="291" bestFit="1" customWidth="1"/>
    <col min="7147" max="7147" width="11.42578125" style="291"/>
    <col min="7148" max="7148" width="12.7109375" style="291" bestFit="1" customWidth="1"/>
    <col min="7149" max="7152" width="11.42578125" style="291"/>
    <col min="7153" max="7153" width="15.28515625" style="291" bestFit="1" customWidth="1"/>
    <col min="7154" max="7155" width="13.7109375" style="291" bestFit="1" customWidth="1"/>
    <col min="7156" max="7159" width="11.42578125" style="291"/>
    <col min="7160" max="7160" width="31" style="291" bestFit="1" customWidth="1"/>
    <col min="7161" max="7177" width="11.42578125" style="291"/>
    <col min="7178" max="7178" width="12.7109375" style="291" bestFit="1" customWidth="1"/>
    <col min="7179" max="7393" width="11.42578125" style="291"/>
    <col min="7394" max="7394" width="10.7109375" style="291" bestFit="1" customWidth="1"/>
    <col min="7395" max="7395" width="13.85546875" style="291" bestFit="1" customWidth="1"/>
    <col min="7396" max="7397" width="12.28515625" style="291" bestFit="1" customWidth="1"/>
    <col min="7398" max="7400" width="13.85546875" style="291" bestFit="1" customWidth="1"/>
    <col min="7401" max="7401" width="12.28515625" style="291" bestFit="1" customWidth="1"/>
    <col min="7402" max="7402" width="13.85546875" style="291" bestFit="1" customWidth="1"/>
    <col min="7403" max="7403" width="11.42578125" style="291"/>
    <col min="7404" max="7404" width="12.7109375" style="291" bestFit="1" customWidth="1"/>
    <col min="7405" max="7408" width="11.42578125" style="291"/>
    <col min="7409" max="7409" width="15.28515625" style="291" bestFit="1" customWidth="1"/>
    <col min="7410" max="7411" width="13.7109375" style="291" bestFit="1" customWidth="1"/>
    <col min="7412" max="7415" width="11.42578125" style="291"/>
    <col min="7416" max="7416" width="31" style="291" bestFit="1" customWidth="1"/>
    <col min="7417" max="7433" width="11.42578125" style="291"/>
    <col min="7434" max="7434" width="12.7109375" style="291" bestFit="1" customWidth="1"/>
    <col min="7435" max="7649" width="11.42578125" style="291"/>
    <col min="7650" max="7650" width="10.7109375" style="291" bestFit="1" customWidth="1"/>
    <col min="7651" max="7651" width="13.85546875" style="291" bestFit="1" customWidth="1"/>
    <col min="7652" max="7653" width="12.28515625" style="291" bestFit="1" customWidth="1"/>
    <col min="7654" max="7656" width="13.85546875" style="291" bestFit="1" customWidth="1"/>
    <col min="7657" max="7657" width="12.28515625" style="291" bestFit="1" customWidth="1"/>
    <col min="7658" max="7658" width="13.85546875" style="291" bestFit="1" customWidth="1"/>
    <col min="7659" max="7659" width="11.42578125" style="291"/>
    <col min="7660" max="7660" width="12.7109375" style="291" bestFit="1" customWidth="1"/>
    <col min="7661" max="7664" width="11.42578125" style="291"/>
    <col min="7665" max="7665" width="15.28515625" style="291" bestFit="1" customWidth="1"/>
    <col min="7666" max="7667" width="13.7109375" style="291" bestFit="1" customWidth="1"/>
    <col min="7668" max="7671" width="11.42578125" style="291"/>
    <col min="7672" max="7672" width="31" style="291" bestFit="1" customWidth="1"/>
    <col min="7673" max="7689" width="11.42578125" style="291"/>
    <col min="7690" max="7690" width="12.7109375" style="291" bestFit="1" customWidth="1"/>
    <col min="7691" max="7905" width="11.42578125" style="291"/>
    <col min="7906" max="7906" width="10.7109375" style="291" bestFit="1" customWidth="1"/>
    <col min="7907" max="7907" width="13.85546875" style="291" bestFit="1" customWidth="1"/>
    <col min="7908" max="7909" width="12.28515625" style="291" bestFit="1" customWidth="1"/>
    <col min="7910" max="7912" width="13.85546875" style="291" bestFit="1" customWidth="1"/>
    <col min="7913" max="7913" width="12.28515625" style="291" bestFit="1" customWidth="1"/>
    <col min="7914" max="7914" width="13.85546875" style="291" bestFit="1" customWidth="1"/>
    <col min="7915" max="7915" width="11.42578125" style="291"/>
    <col min="7916" max="7916" width="12.7109375" style="291" bestFit="1" customWidth="1"/>
    <col min="7917" max="7920" width="11.42578125" style="291"/>
    <col min="7921" max="7921" width="15.28515625" style="291" bestFit="1" customWidth="1"/>
    <col min="7922" max="7923" width="13.7109375" style="291" bestFit="1" customWidth="1"/>
    <col min="7924" max="7927" width="11.42578125" style="291"/>
    <col min="7928" max="7928" width="31" style="291" bestFit="1" customWidth="1"/>
    <col min="7929" max="7945" width="11.42578125" style="291"/>
    <col min="7946" max="7946" width="12.7109375" style="291" bestFit="1" customWidth="1"/>
    <col min="7947" max="8161" width="11.42578125" style="291"/>
    <col min="8162" max="8162" width="10.7109375" style="291" bestFit="1" customWidth="1"/>
    <col min="8163" max="8163" width="13.85546875" style="291" bestFit="1" customWidth="1"/>
    <col min="8164" max="8165" width="12.28515625" style="291" bestFit="1" customWidth="1"/>
    <col min="8166" max="8168" width="13.85546875" style="291" bestFit="1" customWidth="1"/>
    <col min="8169" max="8169" width="12.28515625" style="291" bestFit="1" customWidth="1"/>
    <col min="8170" max="8170" width="13.85546875" style="291" bestFit="1" customWidth="1"/>
    <col min="8171" max="8171" width="11.42578125" style="291"/>
    <col min="8172" max="8172" width="12.7109375" style="291" bestFit="1" customWidth="1"/>
    <col min="8173" max="8176" width="11.42578125" style="291"/>
    <col min="8177" max="8177" width="15.28515625" style="291" bestFit="1" customWidth="1"/>
    <col min="8178" max="8179" width="13.7109375" style="291" bestFit="1" customWidth="1"/>
    <col min="8180" max="8183" width="11.42578125" style="291"/>
    <col min="8184" max="8184" width="31" style="291" bestFit="1" customWidth="1"/>
    <col min="8185" max="8201" width="11.42578125" style="291"/>
    <col min="8202" max="8202" width="12.7109375" style="291" bestFit="1" customWidth="1"/>
    <col min="8203" max="8417" width="11.42578125" style="291"/>
    <col min="8418" max="8418" width="10.7109375" style="291" bestFit="1" customWidth="1"/>
    <col min="8419" max="8419" width="13.85546875" style="291" bestFit="1" customWidth="1"/>
    <col min="8420" max="8421" width="12.28515625" style="291" bestFit="1" customWidth="1"/>
    <col min="8422" max="8424" width="13.85546875" style="291" bestFit="1" customWidth="1"/>
    <col min="8425" max="8425" width="12.28515625" style="291" bestFit="1" customWidth="1"/>
    <col min="8426" max="8426" width="13.85546875" style="291" bestFit="1" customWidth="1"/>
    <col min="8427" max="8427" width="11.42578125" style="291"/>
    <col min="8428" max="8428" width="12.7109375" style="291" bestFit="1" customWidth="1"/>
    <col min="8429" max="8432" width="11.42578125" style="291"/>
    <col min="8433" max="8433" width="15.28515625" style="291" bestFit="1" customWidth="1"/>
    <col min="8434" max="8435" width="13.7109375" style="291" bestFit="1" customWidth="1"/>
    <col min="8436" max="8439" width="11.42578125" style="291"/>
    <col min="8440" max="8440" width="31" style="291" bestFit="1" customWidth="1"/>
    <col min="8441" max="8457" width="11.42578125" style="291"/>
    <col min="8458" max="8458" width="12.7109375" style="291" bestFit="1" customWidth="1"/>
    <col min="8459" max="8673" width="11.42578125" style="291"/>
    <col min="8674" max="8674" width="10.7109375" style="291" bestFit="1" customWidth="1"/>
    <col min="8675" max="8675" width="13.85546875" style="291" bestFit="1" customWidth="1"/>
    <col min="8676" max="8677" width="12.28515625" style="291" bestFit="1" customWidth="1"/>
    <col min="8678" max="8680" width="13.85546875" style="291" bestFit="1" customWidth="1"/>
    <col min="8681" max="8681" width="12.28515625" style="291" bestFit="1" customWidth="1"/>
    <col min="8682" max="8682" width="13.85546875" style="291" bestFit="1" customWidth="1"/>
    <col min="8683" max="8683" width="11.42578125" style="291"/>
    <col min="8684" max="8684" width="12.7109375" style="291" bestFit="1" customWidth="1"/>
    <col min="8685" max="8688" width="11.42578125" style="291"/>
    <col min="8689" max="8689" width="15.28515625" style="291" bestFit="1" customWidth="1"/>
    <col min="8690" max="8691" width="13.7109375" style="291" bestFit="1" customWidth="1"/>
    <col min="8692" max="8695" width="11.42578125" style="291"/>
    <col min="8696" max="8696" width="31" style="291" bestFit="1" customWidth="1"/>
    <col min="8697" max="8713" width="11.42578125" style="291"/>
    <col min="8714" max="8714" width="12.7109375" style="291" bestFit="1" customWidth="1"/>
    <col min="8715" max="8929" width="11.42578125" style="291"/>
    <col min="8930" max="8930" width="10.7109375" style="291" bestFit="1" customWidth="1"/>
    <col min="8931" max="8931" width="13.85546875" style="291" bestFit="1" customWidth="1"/>
    <col min="8932" max="8933" width="12.28515625" style="291" bestFit="1" customWidth="1"/>
    <col min="8934" max="8936" width="13.85546875" style="291" bestFit="1" customWidth="1"/>
    <col min="8937" max="8937" width="12.28515625" style="291" bestFit="1" customWidth="1"/>
    <col min="8938" max="8938" width="13.85546875" style="291" bestFit="1" customWidth="1"/>
    <col min="8939" max="8939" width="11.42578125" style="291"/>
    <col min="8940" max="8940" width="12.7109375" style="291" bestFit="1" customWidth="1"/>
    <col min="8941" max="8944" width="11.42578125" style="291"/>
    <col min="8945" max="8945" width="15.28515625" style="291" bestFit="1" customWidth="1"/>
    <col min="8946" max="8947" width="13.7109375" style="291" bestFit="1" customWidth="1"/>
    <col min="8948" max="8951" width="11.42578125" style="291"/>
    <col min="8952" max="8952" width="31" style="291" bestFit="1" customWidth="1"/>
    <col min="8953" max="8969" width="11.42578125" style="291"/>
    <col min="8970" max="8970" width="12.7109375" style="291" bestFit="1" customWidth="1"/>
    <col min="8971" max="9185" width="11.42578125" style="291"/>
    <col min="9186" max="9186" width="10.7109375" style="291" bestFit="1" customWidth="1"/>
    <col min="9187" max="9187" width="13.85546875" style="291" bestFit="1" customWidth="1"/>
    <col min="9188" max="9189" width="12.28515625" style="291" bestFit="1" customWidth="1"/>
    <col min="9190" max="9192" width="13.85546875" style="291" bestFit="1" customWidth="1"/>
    <col min="9193" max="9193" width="12.28515625" style="291" bestFit="1" customWidth="1"/>
    <col min="9194" max="9194" width="13.85546875" style="291" bestFit="1" customWidth="1"/>
    <col min="9195" max="9195" width="11.42578125" style="291"/>
    <col min="9196" max="9196" width="12.7109375" style="291" bestFit="1" customWidth="1"/>
    <col min="9197" max="9200" width="11.42578125" style="291"/>
    <col min="9201" max="9201" width="15.28515625" style="291" bestFit="1" customWidth="1"/>
    <col min="9202" max="9203" width="13.7109375" style="291" bestFit="1" customWidth="1"/>
    <col min="9204" max="9207" width="11.42578125" style="291"/>
    <col min="9208" max="9208" width="31" style="291" bestFit="1" customWidth="1"/>
    <col min="9209" max="9225" width="11.42578125" style="291"/>
    <col min="9226" max="9226" width="12.7109375" style="291" bestFit="1" customWidth="1"/>
    <col min="9227" max="9441" width="11.42578125" style="291"/>
    <col min="9442" max="9442" width="10.7109375" style="291" bestFit="1" customWidth="1"/>
    <col min="9443" max="9443" width="13.85546875" style="291" bestFit="1" customWidth="1"/>
    <col min="9444" max="9445" width="12.28515625" style="291" bestFit="1" customWidth="1"/>
    <col min="9446" max="9448" width="13.85546875" style="291" bestFit="1" customWidth="1"/>
    <col min="9449" max="9449" width="12.28515625" style="291" bestFit="1" customWidth="1"/>
    <col min="9450" max="9450" width="13.85546875" style="291" bestFit="1" customWidth="1"/>
    <col min="9451" max="9451" width="11.42578125" style="291"/>
    <col min="9452" max="9452" width="12.7109375" style="291" bestFit="1" customWidth="1"/>
    <col min="9453" max="9456" width="11.42578125" style="291"/>
    <col min="9457" max="9457" width="15.28515625" style="291" bestFit="1" customWidth="1"/>
    <col min="9458" max="9459" width="13.7109375" style="291" bestFit="1" customWidth="1"/>
    <col min="9460" max="9463" width="11.42578125" style="291"/>
    <col min="9464" max="9464" width="31" style="291" bestFit="1" customWidth="1"/>
    <col min="9465" max="9481" width="11.42578125" style="291"/>
    <col min="9482" max="9482" width="12.7109375" style="291" bestFit="1" customWidth="1"/>
    <col min="9483" max="9697" width="11.42578125" style="291"/>
    <col min="9698" max="9698" width="10.7109375" style="291" bestFit="1" customWidth="1"/>
    <col min="9699" max="9699" width="13.85546875" style="291" bestFit="1" customWidth="1"/>
    <col min="9700" max="9701" width="12.28515625" style="291" bestFit="1" customWidth="1"/>
    <col min="9702" max="9704" width="13.85546875" style="291" bestFit="1" customWidth="1"/>
    <col min="9705" max="9705" width="12.28515625" style="291" bestFit="1" customWidth="1"/>
    <col min="9706" max="9706" width="13.85546875" style="291" bestFit="1" customWidth="1"/>
    <col min="9707" max="9707" width="11.42578125" style="291"/>
    <col min="9708" max="9708" width="12.7109375" style="291" bestFit="1" customWidth="1"/>
    <col min="9709" max="9712" width="11.42578125" style="291"/>
    <col min="9713" max="9713" width="15.28515625" style="291" bestFit="1" customWidth="1"/>
    <col min="9714" max="9715" width="13.7109375" style="291" bestFit="1" customWidth="1"/>
    <col min="9716" max="9719" width="11.42578125" style="291"/>
    <col min="9720" max="9720" width="31" style="291" bestFit="1" customWidth="1"/>
    <col min="9721" max="9737" width="11.42578125" style="291"/>
    <col min="9738" max="9738" width="12.7109375" style="291" bestFit="1" customWidth="1"/>
    <col min="9739" max="9953" width="11.42578125" style="291"/>
    <col min="9954" max="9954" width="10.7109375" style="291" bestFit="1" customWidth="1"/>
    <col min="9955" max="9955" width="13.85546875" style="291" bestFit="1" customWidth="1"/>
    <col min="9956" max="9957" width="12.28515625" style="291" bestFit="1" customWidth="1"/>
    <col min="9958" max="9960" width="13.85546875" style="291" bestFit="1" customWidth="1"/>
    <col min="9961" max="9961" width="12.28515625" style="291" bestFit="1" customWidth="1"/>
    <col min="9962" max="9962" width="13.85546875" style="291" bestFit="1" customWidth="1"/>
    <col min="9963" max="9963" width="11.42578125" style="291"/>
    <col min="9964" max="9964" width="12.7109375" style="291" bestFit="1" customWidth="1"/>
    <col min="9965" max="9968" width="11.42578125" style="291"/>
    <col min="9969" max="9969" width="15.28515625" style="291" bestFit="1" customWidth="1"/>
    <col min="9970" max="9971" width="13.7109375" style="291" bestFit="1" customWidth="1"/>
    <col min="9972" max="9975" width="11.42578125" style="291"/>
    <col min="9976" max="9976" width="31" style="291" bestFit="1" customWidth="1"/>
    <col min="9977" max="9993" width="11.42578125" style="291"/>
    <col min="9994" max="9994" width="12.7109375" style="291" bestFit="1" customWidth="1"/>
    <col min="9995" max="10209" width="11.42578125" style="291"/>
    <col min="10210" max="10210" width="10.7109375" style="291" bestFit="1" customWidth="1"/>
    <col min="10211" max="10211" width="13.85546875" style="291" bestFit="1" customWidth="1"/>
    <col min="10212" max="10213" width="12.28515625" style="291" bestFit="1" customWidth="1"/>
    <col min="10214" max="10216" width="13.85546875" style="291" bestFit="1" customWidth="1"/>
    <col min="10217" max="10217" width="12.28515625" style="291" bestFit="1" customWidth="1"/>
    <col min="10218" max="10218" width="13.85546875" style="291" bestFit="1" customWidth="1"/>
    <col min="10219" max="10219" width="11.42578125" style="291"/>
    <col min="10220" max="10220" width="12.7109375" style="291" bestFit="1" customWidth="1"/>
    <col min="10221" max="10224" width="11.42578125" style="291"/>
    <col min="10225" max="10225" width="15.28515625" style="291" bestFit="1" customWidth="1"/>
    <col min="10226" max="10227" width="13.7109375" style="291" bestFit="1" customWidth="1"/>
    <col min="10228" max="10231" width="11.42578125" style="291"/>
    <col min="10232" max="10232" width="31" style="291" bestFit="1" customWidth="1"/>
    <col min="10233" max="10249" width="11.42578125" style="291"/>
    <col min="10250" max="10250" width="12.7109375" style="291" bestFit="1" customWidth="1"/>
    <col min="10251" max="10465" width="11.42578125" style="291"/>
    <col min="10466" max="10466" width="10.7109375" style="291" bestFit="1" customWidth="1"/>
    <col min="10467" max="10467" width="13.85546875" style="291" bestFit="1" customWidth="1"/>
    <col min="10468" max="10469" width="12.28515625" style="291" bestFit="1" customWidth="1"/>
    <col min="10470" max="10472" width="13.85546875" style="291" bestFit="1" customWidth="1"/>
    <col min="10473" max="10473" width="12.28515625" style="291" bestFit="1" customWidth="1"/>
    <col min="10474" max="10474" width="13.85546875" style="291" bestFit="1" customWidth="1"/>
    <col min="10475" max="10475" width="11.42578125" style="291"/>
    <col min="10476" max="10476" width="12.7109375" style="291" bestFit="1" customWidth="1"/>
    <col min="10477" max="10480" width="11.42578125" style="291"/>
    <col min="10481" max="10481" width="15.28515625" style="291" bestFit="1" customWidth="1"/>
    <col min="10482" max="10483" width="13.7109375" style="291" bestFit="1" customWidth="1"/>
    <col min="10484" max="10487" width="11.42578125" style="291"/>
    <col min="10488" max="10488" width="31" style="291" bestFit="1" customWidth="1"/>
    <col min="10489" max="10505" width="11.42578125" style="291"/>
    <col min="10506" max="10506" width="12.7109375" style="291" bestFit="1" customWidth="1"/>
    <col min="10507" max="10721" width="11.42578125" style="291"/>
    <col min="10722" max="10722" width="10.7109375" style="291" bestFit="1" customWidth="1"/>
    <col min="10723" max="10723" width="13.85546875" style="291" bestFit="1" customWidth="1"/>
    <col min="10724" max="10725" width="12.28515625" style="291" bestFit="1" customWidth="1"/>
    <col min="10726" max="10728" width="13.85546875" style="291" bestFit="1" customWidth="1"/>
    <col min="10729" max="10729" width="12.28515625" style="291" bestFit="1" customWidth="1"/>
    <col min="10730" max="10730" width="13.85546875" style="291" bestFit="1" customWidth="1"/>
    <col min="10731" max="10731" width="11.42578125" style="291"/>
    <col min="10732" max="10732" width="12.7109375" style="291" bestFit="1" customWidth="1"/>
    <col min="10733" max="10736" width="11.42578125" style="291"/>
    <col min="10737" max="10737" width="15.28515625" style="291" bestFit="1" customWidth="1"/>
    <col min="10738" max="10739" width="13.7109375" style="291" bestFit="1" customWidth="1"/>
    <col min="10740" max="10743" width="11.42578125" style="291"/>
    <col min="10744" max="10744" width="31" style="291" bestFit="1" customWidth="1"/>
    <col min="10745" max="10761" width="11.42578125" style="291"/>
    <col min="10762" max="10762" width="12.7109375" style="291" bestFit="1" customWidth="1"/>
    <col min="10763" max="10977" width="11.42578125" style="291"/>
    <col min="10978" max="10978" width="10.7109375" style="291" bestFit="1" customWidth="1"/>
    <col min="10979" max="10979" width="13.85546875" style="291" bestFit="1" customWidth="1"/>
    <col min="10980" max="10981" width="12.28515625" style="291" bestFit="1" customWidth="1"/>
    <col min="10982" max="10984" width="13.85546875" style="291" bestFit="1" customWidth="1"/>
    <col min="10985" max="10985" width="12.28515625" style="291" bestFit="1" customWidth="1"/>
    <col min="10986" max="10986" width="13.85546875" style="291" bestFit="1" customWidth="1"/>
    <col min="10987" max="10987" width="11.42578125" style="291"/>
    <col min="10988" max="10988" width="12.7109375" style="291" bestFit="1" customWidth="1"/>
    <col min="10989" max="10992" width="11.42578125" style="291"/>
    <col min="10993" max="10993" width="15.28515625" style="291" bestFit="1" customWidth="1"/>
    <col min="10994" max="10995" width="13.7109375" style="291" bestFit="1" customWidth="1"/>
    <col min="10996" max="10999" width="11.42578125" style="291"/>
    <col min="11000" max="11000" width="31" style="291" bestFit="1" customWidth="1"/>
    <col min="11001" max="11017" width="11.42578125" style="291"/>
    <col min="11018" max="11018" width="12.7109375" style="291" bestFit="1" customWidth="1"/>
    <col min="11019" max="11233" width="11.42578125" style="291"/>
    <col min="11234" max="11234" width="10.7109375" style="291" bestFit="1" customWidth="1"/>
    <col min="11235" max="11235" width="13.85546875" style="291" bestFit="1" customWidth="1"/>
    <col min="11236" max="11237" width="12.28515625" style="291" bestFit="1" customWidth="1"/>
    <col min="11238" max="11240" width="13.85546875" style="291" bestFit="1" customWidth="1"/>
    <col min="11241" max="11241" width="12.28515625" style="291" bestFit="1" customWidth="1"/>
    <col min="11242" max="11242" width="13.85546875" style="291" bestFit="1" customWidth="1"/>
    <col min="11243" max="11243" width="11.42578125" style="291"/>
    <col min="11244" max="11244" width="12.7109375" style="291" bestFit="1" customWidth="1"/>
    <col min="11245" max="11248" width="11.42578125" style="291"/>
    <col min="11249" max="11249" width="15.28515625" style="291" bestFit="1" customWidth="1"/>
    <col min="11250" max="11251" width="13.7109375" style="291" bestFit="1" customWidth="1"/>
    <col min="11252" max="11255" width="11.42578125" style="291"/>
    <col min="11256" max="11256" width="31" style="291" bestFit="1" customWidth="1"/>
    <col min="11257" max="11273" width="11.42578125" style="291"/>
    <col min="11274" max="11274" width="12.7109375" style="291" bestFit="1" customWidth="1"/>
    <col min="11275" max="11489" width="11.42578125" style="291"/>
    <col min="11490" max="11490" width="10.7109375" style="291" bestFit="1" customWidth="1"/>
    <col min="11491" max="11491" width="13.85546875" style="291" bestFit="1" customWidth="1"/>
    <col min="11492" max="11493" width="12.28515625" style="291" bestFit="1" customWidth="1"/>
    <col min="11494" max="11496" width="13.85546875" style="291" bestFit="1" customWidth="1"/>
    <col min="11497" max="11497" width="12.28515625" style="291" bestFit="1" customWidth="1"/>
    <col min="11498" max="11498" width="13.85546875" style="291" bestFit="1" customWidth="1"/>
    <col min="11499" max="11499" width="11.42578125" style="291"/>
    <col min="11500" max="11500" width="12.7109375" style="291" bestFit="1" customWidth="1"/>
    <col min="11501" max="11504" width="11.42578125" style="291"/>
    <col min="11505" max="11505" width="15.28515625" style="291" bestFit="1" customWidth="1"/>
    <col min="11506" max="11507" width="13.7109375" style="291" bestFit="1" customWidth="1"/>
    <col min="11508" max="11511" width="11.42578125" style="291"/>
    <col min="11512" max="11512" width="31" style="291" bestFit="1" customWidth="1"/>
    <col min="11513" max="11529" width="11.42578125" style="291"/>
    <col min="11530" max="11530" width="12.7109375" style="291" bestFit="1" customWidth="1"/>
    <col min="11531" max="11745" width="11.42578125" style="291"/>
    <col min="11746" max="11746" width="10.7109375" style="291" bestFit="1" customWidth="1"/>
    <col min="11747" max="11747" width="13.85546875" style="291" bestFit="1" customWidth="1"/>
    <col min="11748" max="11749" width="12.28515625" style="291" bestFit="1" customWidth="1"/>
    <col min="11750" max="11752" width="13.85546875" style="291" bestFit="1" customWidth="1"/>
    <col min="11753" max="11753" width="12.28515625" style="291" bestFit="1" customWidth="1"/>
    <col min="11754" max="11754" width="13.85546875" style="291" bestFit="1" customWidth="1"/>
    <col min="11755" max="11755" width="11.42578125" style="291"/>
    <col min="11756" max="11756" width="12.7109375" style="291" bestFit="1" customWidth="1"/>
    <col min="11757" max="11760" width="11.42578125" style="291"/>
    <col min="11761" max="11761" width="15.28515625" style="291" bestFit="1" customWidth="1"/>
    <col min="11762" max="11763" width="13.7109375" style="291" bestFit="1" customWidth="1"/>
    <col min="11764" max="11767" width="11.42578125" style="291"/>
    <col min="11768" max="11768" width="31" style="291" bestFit="1" customWidth="1"/>
    <col min="11769" max="11785" width="11.42578125" style="291"/>
    <col min="11786" max="11786" width="12.7109375" style="291" bestFit="1" customWidth="1"/>
    <col min="11787" max="12001" width="11.42578125" style="291"/>
    <col min="12002" max="12002" width="10.7109375" style="291" bestFit="1" customWidth="1"/>
    <col min="12003" max="12003" width="13.85546875" style="291" bestFit="1" customWidth="1"/>
    <col min="12004" max="12005" width="12.28515625" style="291" bestFit="1" customWidth="1"/>
    <col min="12006" max="12008" width="13.85546875" style="291" bestFit="1" customWidth="1"/>
    <col min="12009" max="12009" width="12.28515625" style="291" bestFit="1" customWidth="1"/>
    <col min="12010" max="12010" width="13.85546875" style="291" bestFit="1" customWidth="1"/>
    <col min="12011" max="12011" width="11.42578125" style="291"/>
    <col min="12012" max="12012" width="12.7109375" style="291" bestFit="1" customWidth="1"/>
    <col min="12013" max="12016" width="11.42578125" style="291"/>
    <col min="12017" max="12017" width="15.28515625" style="291" bestFit="1" customWidth="1"/>
    <col min="12018" max="12019" width="13.7109375" style="291" bestFit="1" customWidth="1"/>
    <col min="12020" max="12023" width="11.42578125" style="291"/>
    <col min="12024" max="12024" width="31" style="291" bestFit="1" customWidth="1"/>
    <col min="12025" max="12041" width="11.42578125" style="291"/>
    <col min="12042" max="12042" width="12.7109375" style="291" bestFit="1" customWidth="1"/>
    <col min="12043" max="12257" width="11.42578125" style="291"/>
    <col min="12258" max="12258" width="10.7109375" style="291" bestFit="1" customWidth="1"/>
    <col min="12259" max="12259" width="13.85546875" style="291" bestFit="1" customWidth="1"/>
    <col min="12260" max="12261" width="12.28515625" style="291" bestFit="1" customWidth="1"/>
    <col min="12262" max="12264" width="13.85546875" style="291" bestFit="1" customWidth="1"/>
    <col min="12265" max="12265" width="12.28515625" style="291" bestFit="1" customWidth="1"/>
    <col min="12266" max="12266" width="13.85546875" style="291" bestFit="1" customWidth="1"/>
    <col min="12267" max="12267" width="11.42578125" style="291"/>
    <col min="12268" max="12268" width="12.7109375" style="291" bestFit="1" customWidth="1"/>
    <col min="12269" max="12272" width="11.42578125" style="291"/>
    <col min="12273" max="12273" width="15.28515625" style="291" bestFit="1" customWidth="1"/>
    <col min="12274" max="12275" width="13.7109375" style="291" bestFit="1" customWidth="1"/>
    <col min="12276" max="12279" width="11.42578125" style="291"/>
    <col min="12280" max="12280" width="31" style="291" bestFit="1" customWidth="1"/>
    <col min="12281" max="12297" width="11.42578125" style="291"/>
    <col min="12298" max="12298" width="12.7109375" style="291" bestFit="1" customWidth="1"/>
    <col min="12299" max="12513" width="11.42578125" style="291"/>
    <col min="12514" max="12514" width="10.7109375" style="291" bestFit="1" customWidth="1"/>
    <col min="12515" max="12515" width="13.85546875" style="291" bestFit="1" customWidth="1"/>
    <col min="12516" max="12517" width="12.28515625" style="291" bestFit="1" customWidth="1"/>
    <col min="12518" max="12520" width="13.85546875" style="291" bestFit="1" customWidth="1"/>
    <col min="12521" max="12521" width="12.28515625" style="291" bestFit="1" customWidth="1"/>
    <col min="12522" max="12522" width="13.85546875" style="291" bestFit="1" customWidth="1"/>
    <col min="12523" max="12523" width="11.42578125" style="291"/>
    <col min="12524" max="12524" width="12.7109375" style="291" bestFit="1" customWidth="1"/>
    <col min="12525" max="12528" width="11.42578125" style="291"/>
    <col min="12529" max="12529" width="15.28515625" style="291" bestFit="1" customWidth="1"/>
    <col min="12530" max="12531" width="13.7109375" style="291" bestFit="1" customWidth="1"/>
    <col min="12532" max="12535" width="11.42578125" style="291"/>
    <col min="12536" max="12536" width="31" style="291" bestFit="1" customWidth="1"/>
    <col min="12537" max="12553" width="11.42578125" style="291"/>
    <col min="12554" max="12554" width="12.7109375" style="291" bestFit="1" customWidth="1"/>
    <col min="12555" max="12769" width="11.42578125" style="291"/>
    <col min="12770" max="12770" width="10.7109375" style="291" bestFit="1" customWidth="1"/>
    <col min="12771" max="12771" width="13.85546875" style="291" bestFit="1" customWidth="1"/>
    <col min="12772" max="12773" width="12.28515625" style="291" bestFit="1" customWidth="1"/>
    <col min="12774" max="12776" width="13.85546875" style="291" bestFit="1" customWidth="1"/>
    <col min="12777" max="12777" width="12.28515625" style="291" bestFit="1" customWidth="1"/>
    <col min="12778" max="12778" width="13.85546875" style="291" bestFit="1" customWidth="1"/>
    <col min="12779" max="12779" width="11.42578125" style="291"/>
    <col min="12780" max="12780" width="12.7109375" style="291" bestFit="1" customWidth="1"/>
    <col min="12781" max="12784" width="11.42578125" style="291"/>
    <col min="12785" max="12785" width="15.28515625" style="291" bestFit="1" customWidth="1"/>
    <col min="12786" max="12787" width="13.7109375" style="291" bestFit="1" customWidth="1"/>
    <col min="12788" max="12791" width="11.42578125" style="291"/>
    <col min="12792" max="12792" width="31" style="291" bestFit="1" customWidth="1"/>
    <col min="12793" max="12809" width="11.42578125" style="291"/>
    <col min="12810" max="12810" width="12.7109375" style="291" bestFit="1" customWidth="1"/>
    <col min="12811" max="13025" width="11.42578125" style="291"/>
    <col min="13026" max="13026" width="10.7109375" style="291" bestFit="1" customWidth="1"/>
    <col min="13027" max="13027" width="13.85546875" style="291" bestFit="1" customWidth="1"/>
    <col min="13028" max="13029" width="12.28515625" style="291" bestFit="1" customWidth="1"/>
    <col min="13030" max="13032" width="13.85546875" style="291" bestFit="1" customWidth="1"/>
    <col min="13033" max="13033" width="12.28515625" style="291" bestFit="1" customWidth="1"/>
    <col min="13034" max="13034" width="13.85546875" style="291" bestFit="1" customWidth="1"/>
    <col min="13035" max="13035" width="11.42578125" style="291"/>
    <col min="13036" max="13036" width="12.7109375" style="291" bestFit="1" customWidth="1"/>
    <col min="13037" max="13040" width="11.42578125" style="291"/>
    <col min="13041" max="13041" width="15.28515625" style="291" bestFit="1" customWidth="1"/>
    <col min="13042" max="13043" width="13.7109375" style="291" bestFit="1" customWidth="1"/>
    <col min="13044" max="13047" width="11.42578125" style="291"/>
    <col min="13048" max="13048" width="31" style="291" bestFit="1" customWidth="1"/>
    <col min="13049" max="13065" width="11.42578125" style="291"/>
    <col min="13066" max="13066" width="12.7109375" style="291" bestFit="1" customWidth="1"/>
    <col min="13067" max="13281" width="11.42578125" style="291"/>
    <col min="13282" max="13282" width="10.7109375" style="291" bestFit="1" customWidth="1"/>
    <col min="13283" max="13283" width="13.85546875" style="291" bestFit="1" customWidth="1"/>
    <col min="13284" max="13285" width="12.28515625" style="291" bestFit="1" customWidth="1"/>
    <col min="13286" max="13288" width="13.85546875" style="291" bestFit="1" customWidth="1"/>
    <col min="13289" max="13289" width="12.28515625" style="291" bestFit="1" customWidth="1"/>
    <col min="13290" max="13290" width="13.85546875" style="291" bestFit="1" customWidth="1"/>
    <col min="13291" max="13291" width="11.42578125" style="291"/>
    <col min="13292" max="13292" width="12.7109375" style="291" bestFit="1" customWidth="1"/>
    <col min="13293" max="13296" width="11.42578125" style="291"/>
    <col min="13297" max="13297" width="15.28515625" style="291" bestFit="1" customWidth="1"/>
    <col min="13298" max="13299" width="13.7109375" style="291" bestFit="1" customWidth="1"/>
    <col min="13300" max="13303" width="11.42578125" style="291"/>
    <col min="13304" max="13304" width="31" style="291" bestFit="1" customWidth="1"/>
    <col min="13305" max="13321" width="11.42578125" style="291"/>
    <col min="13322" max="13322" width="12.7109375" style="291" bestFit="1" customWidth="1"/>
    <col min="13323" max="13537" width="11.42578125" style="291"/>
    <col min="13538" max="13538" width="10.7109375" style="291" bestFit="1" customWidth="1"/>
    <col min="13539" max="13539" width="13.85546875" style="291" bestFit="1" customWidth="1"/>
    <col min="13540" max="13541" width="12.28515625" style="291" bestFit="1" customWidth="1"/>
    <col min="13542" max="13544" width="13.85546875" style="291" bestFit="1" customWidth="1"/>
    <col min="13545" max="13545" width="12.28515625" style="291" bestFit="1" customWidth="1"/>
    <col min="13546" max="13546" width="13.85546875" style="291" bestFit="1" customWidth="1"/>
    <col min="13547" max="13547" width="11.42578125" style="291"/>
    <col min="13548" max="13548" width="12.7109375" style="291" bestFit="1" customWidth="1"/>
    <col min="13549" max="13552" width="11.42578125" style="291"/>
    <col min="13553" max="13553" width="15.28515625" style="291" bestFit="1" customWidth="1"/>
    <col min="13554" max="13555" width="13.7109375" style="291" bestFit="1" customWidth="1"/>
    <col min="13556" max="13559" width="11.42578125" style="291"/>
    <col min="13560" max="13560" width="31" style="291" bestFit="1" customWidth="1"/>
    <col min="13561" max="13577" width="11.42578125" style="291"/>
    <col min="13578" max="13578" width="12.7109375" style="291" bestFit="1" customWidth="1"/>
    <col min="13579" max="13793" width="11.42578125" style="291"/>
    <col min="13794" max="13794" width="10.7109375" style="291" bestFit="1" customWidth="1"/>
    <col min="13795" max="13795" width="13.85546875" style="291" bestFit="1" customWidth="1"/>
    <col min="13796" max="13797" width="12.28515625" style="291" bestFit="1" customWidth="1"/>
    <col min="13798" max="13800" width="13.85546875" style="291" bestFit="1" customWidth="1"/>
    <col min="13801" max="13801" width="12.28515625" style="291" bestFit="1" customWidth="1"/>
    <col min="13802" max="13802" width="13.85546875" style="291" bestFit="1" customWidth="1"/>
    <col min="13803" max="13803" width="11.42578125" style="291"/>
    <col min="13804" max="13804" width="12.7109375" style="291" bestFit="1" customWidth="1"/>
    <col min="13805" max="13808" width="11.42578125" style="291"/>
    <col min="13809" max="13809" width="15.28515625" style="291" bestFit="1" customWidth="1"/>
    <col min="13810" max="13811" width="13.7109375" style="291" bestFit="1" customWidth="1"/>
    <col min="13812" max="13815" width="11.42578125" style="291"/>
    <col min="13816" max="13816" width="31" style="291" bestFit="1" customWidth="1"/>
    <col min="13817" max="13833" width="11.42578125" style="291"/>
    <col min="13834" max="13834" width="12.7109375" style="291" bestFit="1" customWidth="1"/>
    <col min="13835" max="14049" width="11.42578125" style="291"/>
    <col min="14050" max="14050" width="10.7109375" style="291" bestFit="1" customWidth="1"/>
    <col min="14051" max="14051" width="13.85546875" style="291" bestFit="1" customWidth="1"/>
    <col min="14052" max="14053" width="12.28515625" style="291" bestFit="1" customWidth="1"/>
    <col min="14054" max="14056" width="13.85546875" style="291" bestFit="1" customWidth="1"/>
    <col min="14057" max="14057" width="12.28515625" style="291" bestFit="1" customWidth="1"/>
    <col min="14058" max="14058" width="13.85546875" style="291" bestFit="1" customWidth="1"/>
    <col min="14059" max="14059" width="11.42578125" style="291"/>
    <col min="14060" max="14060" width="12.7109375" style="291" bestFit="1" customWidth="1"/>
    <col min="14061" max="14064" width="11.42578125" style="291"/>
    <col min="14065" max="14065" width="15.28515625" style="291" bestFit="1" customWidth="1"/>
    <col min="14066" max="14067" width="13.7109375" style="291" bestFit="1" customWidth="1"/>
    <col min="14068" max="14071" width="11.42578125" style="291"/>
    <col min="14072" max="14072" width="31" style="291" bestFit="1" customWidth="1"/>
    <col min="14073" max="14089" width="11.42578125" style="291"/>
    <col min="14090" max="14090" width="12.7109375" style="291" bestFit="1" customWidth="1"/>
    <col min="14091" max="14305" width="11.42578125" style="291"/>
    <col min="14306" max="14306" width="10.7109375" style="291" bestFit="1" customWidth="1"/>
    <col min="14307" max="14307" width="13.85546875" style="291" bestFit="1" customWidth="1"/>
    <col min="14308" max="14309" width="12.28515625" style="291" bestFit="1" customWidth="1"/>
    <col min="14310" max="14312" width="13.85546875" style="291" bestFit="1" customWidth="1"/>
    <col min="14313" max="14313" width="12.28515625" style="291" bestFit="1" customWidth="1"/>
    <col min="14314" max="14314" width="13.85546875" style="291" bestFit="1" customWidth="1"/>
    <col min="14315" max="14315" width="11.42578125" style="291"/>
    <col min="14316" max="14316" width="12.7109375" style="291" bestFit="1" customWidth="1"/>
    <col min="14317" max="14320" width="11.42578125" style="291"/>
    <col min="14321" max="14321" width="15.28515625" style="291" bestFit="1" customWidth="1"/>
    <col min="14322" max="14323" width="13.7109375" style="291" bestFit="1" customWidth="1"/>
    <col min="14324" max="14327" width="11.42578125" style="291"/>
    <col min="14328" max="14328" width="31" style="291" bestFit="1" customWidth="1"/>
    <col min="14329" max="14345" width="11.42578125" style="291"/>
    <col min="14346" max="14346" width="12.7109375" style="291" bestFit="1" customWidth="1"/>
    <col min="14347" max="14561" width="11.42578125" style="291"/>
    <col min="14562" max="14562" width="10.7109375" style="291" bestFit="1" customWidth="1"/>
    <col min="14563" max="14563" width="13.85546875" style="291" bestFit="1" customWidth="1"/>
    <col min="14564" max="14565" width="12.28515625" style="291" bestFit="1" customWidth="1"/>
    <col min="14566" max="14568" width="13.85546875" style="291" bestFit="1" customWidth="1"/>
    <col min="14569" max="14569" width="12.28515625" style="291" bestFit="1" customWidth="1"/>
    <col min="14570" max="14570" width="13.85546875" style="291" bestFit="1" customWidth="1"/>
    <col min="14571" max="14571" width="11.42578125" style="291"/>
    <col min="14572" max="14572" width="12.7109375" style="291" bestFit="1" customWidth="1"/>
    <col min="14573" max="14576" width="11.42578125" style="291"/>
    <col min="14577" max="14577" width="15.28515625" style="291" bestFit="1" customWidth="1"/>
    <col min="14578" max="14579" width="13.7109375" style="291" bestFit="1" customWidth="1"/>
    <col min="14580" max="14583" width="11.42578125" style="291"/>
    <col min="14584" max="14584" width="31" style="291" bestFit="1" customWidth="1"/>
    <col min="14585" max="14601" width="11.42578125" style="291"/>
    <col min="14602" max="14602" width="12.7109375" style="291" bestFit="1" customWidth="1"/>
    <col min="14603" max="14817" width="11.42578125" style="291"/>
    <col min="14818" max="14818" width="10.7109375" style="291" bestFit="1" customWidth="1"/>
    <col min="14819" max="14819" width="13.85546875" style="291" bestFit="1" customWidth="1"/>
    <col min="14820" max="14821" width="12.28515625" style="291" bestFit="1" customWidth="1"/>
    <col min="14822" max="14824" width="13.85546875" style="291" bestFit="1" customWidth="1"/>
    <col min="14825" max="14825" width="12.28515625" style="291" bestFit="1" customWidth="1"/>
    <col min="14826" max="14826" width="13.85546875" style="291" bestFit="1" customWidth="1"/>
    <col min="14827" max="14827" width="11.42578125" style="291"/>
    <col min="14828" max="14828" width="12.7109375" style="291" bestFit="1" customWidth="1"/>
    <col min="14829" max="14832" width="11.42578125" style="291"/>
    <col min="14833" max="14833" width="15.28515625" style="291" bestFit="1" customWidth="1"/>
    <col min="14834" max="14835" width="13.7109375" style="291" bestFit="1" customWidth="1"/>
    <col min="14836" max="14839" width="11.42578125" style="291"/>
    <col min="14840" max="14840" width="31" style="291" bestFit="1" customWidth="1"/>
    <col min="14841" max="14857" width="11.42578125" style="291"/>
    <col min="14858" max="14858" width="12.7109375" style="291" bestFit="1" customWidth="1"/>
    <col min="14859" max="15073" width="11.42578125" style="291"/>
    <col min="15074" max="15074" width="10.7109375" style="291" bestFit="1" customWidth="1"/>
    <col min="15075" max="15075" width="13.85546875" style="291" bestFit="1" customWidth="1"/>
    <col min="15076" max="15077" width="12.28515625" style="291" bestFit="1" customWidth="1"/>
    <col min="15078" max="15080" width="13.85546875" style="291" bestFit="1" customWidth="1"/>
    <col min="15081" max="15081" width="12.28515625" style="291" bestFit="1" customWidth="1"/>
    <col min="15082" max="15082" width="13.85546875" style="291" bestFit="1" customWidth="1"/>
    <col min="15083" max="15083" width="11.42578125" style="291"/>
    <col min="15084" max="15084" width="12.7109375" style="291" bestFit="1" customWidth="1"/>
    <col min="15085" max="15088" width="11.42578125" style="291"/>
    <col min="15089" max="15089" width="15.28515625" style="291" bestFit="1" customWidth="1"/>
    <col min="15090" max="15091" width="13.7109375" style="291" bestFit="1" customWidth="1"/>
    <col min="15092" max="15095" width="11.42578125" style="291"/>
    <col min="15096" max="15096" width="31" style="291" bestFit="1" customWidth="1"/>
    <col min="15097" max="15113" width="11.42578125" style="291"/>
    <col min="15114" max="15114" width="12.7109375" style="291" bestFit="1" customWidth="1"/>
    <col min="15115" max="15329" width="11.42578125" style="291"/>
    <col min="15330" max="15330" width="10.7109375" style="291" bestFit="1" customWidth="1"/>
    <col min="15331" max="15331" width="13.85546875" style="291" bestFit="1" customWidth="1"/>
    <col min="15332" max="15333" width="12.28515625" style="291" bestFit="1" customWidth="1"/>
    <col min="15334" max="15336" width="13.85546875" style="291" bestFit="1" customWidth="1"/>
    <col min="15337" max="15337" width="12.28515625" style="291" bestFit="1" customWidth="1"/>
    <col min="15338" max="15338" width="13.85546875" style="291" bestFit="1" customWidth="1"/>
    <col min="15339" max="15339" width="11.42578125" style="291"/>
    <col min="15340" max="15340" width="12.7109375" style="291" bestFit="1" customWidth="1"/>
    <col min="15341" max="15344" width="11.42578125" style="291"/>
    <col min="15345" max="15345" width="15.28515625" style="291" bestFit="1" customWidth="1"/>
    <col min="15346" max="15347" width="13.7109375" style="291" bestFit="1" customWidth="1"/>
    <col min="15348" max="15351" width="11.42578125" style="291"/>
    <col min="15352" max="15352" width="31" style="291" bestFit="1" customWidth="1"/>
    <col min="15353" max="15369" width="11.42578125" style="291"/>
    <col min="15370" max="15370" width="12.7109375" style="291" bestFit="1" customWidth="1"/>
    <col min="15371" max="15585" width="11.42578125" style="291"/>
    <col min="15586" max="15586" width="10.7109375" style="291" bestFit="1" customWidth="1"/>
    <col min="15587" max="15587" width="13.85546875" style="291" bestFit="1" customWidth="1"/>
    <col min="15588" max="15589" width="12.28515625" style="291" bestFit="1" customWidth="1"/>
    <col min="15590" max="15592" width="13.85546875" style="291" bestFit="1" customWidth="1"/>
    <col min="15593" max="15593" width="12.28515625" style="291" bestFit="1" customWidth="1"/>
    <col min="15594" max="15594" width="13.85546875" style="291" bestFit="1" customWidth="1"/>
    <col min="15595" max="15595" width="11.42578125" style="291"/>
    <col min="15596" max="15596" width="12.7109375" style="291" bestFit="1" customWidth="1"/>
    <col min="15597" max="15600" width="11.42578125" style="291"/>
    <col min="15601" max="15601" width="15.28515625" style="291" bestFit="1" customWidth="1"/>
    <col min="15602" max="15603" width="13.7109375" style="291" bestFit="1" customWidth="1"/>
    <col min="15604" max="15607" width="11.42578125" style="291"/>
    <col min="15608" max="15608" width="31" style="291" bestFit="1" customWidth="1"/>
    <col min="15609" max="15625" width="11.42578125" style="291"/>
    <col min="15626" max="15626" width="12.7109375" style="291" bestFit="1" customWidth="1"/>
    <col min="15627" max="15841" width="11.42578125" style="291"/>
    <col min="15842" max="15842" width="10.7109375" style="291" bestFit="1" customWidth="1"/>
    <col min="15843" max="15843" width="13.85546875" style="291" bestFit="1" customWidth="1"/>
    <col min="15844" max="15845" width="12.28515625" style="291" bestFit="1" customWidth="1"/>
    <col min="15846" max="15848" width="13.85546875" style="291" bestFit="1" customWidth="1"/>
    <col min="15849" max="15849" width="12.28515625" style="291" bestFit="1" customWidth="1"/>
    <col min="15850" max="15850" width="13.85546875" style="291" bestFit="1" customWidth="1"/>
    <col min="15851" max="15851" width="11.42578125" style="291"/>
    <col min="15852" max="15852" width="12.7109375" style="291" bestFit="1" customWidth="1"/>
    <col min="15853" max="15856" width="11.42578125" style="291"/>
    <col min="15857" max="15857" width="15.28515625" style="291" bestFit="1" customWidth="1"/>
    <col min="15858" max="15859" width="13.7109375" style="291" bestFit="1" customWidth="1"/>
    <col min="15860" max="15863" width="11.42578125" style="291"/>
    <col min="15864" max="15864" width="31" style="291" bestFit="1" customWidth="1"/>
    <col min="15865" max="15881" width="11.42578125" style="291"/>
    <col min="15882" max="15882" width="12.7109375" style="291" bestFit="1" customWidth="1"/>
    <col min="15883" max="16097" width="11.42578125" style="291"/>
    <col min="16098" max="16098" width="10.7109375" style="291" bestFit="1" customWidth="1"/>
    <col min="16099" max="16099" width="13.85546875" style="291" bestFit="1" customWidth="1"/>
    <col min="16100" max="16101" width="12.28515625" style="291" bestFit="1" customWidth="1"/>
    <col min="16102" max="16104" width="13.85546875" style="291" bestFit="1" customWidth="1"/>
    <col min="16105" max="16105" width="12.28515625" style="291" bestFit="1" customWidth="1"/>
    <col min="16106" max="16106" width="13.85546875" style="291" bestFit="1" customWidth="1"/>
    <col min="16107" max="16107" width="11.42578125" style="291"/>
    <col min="16108" max="16108" width="12.7109375" style="291" bestFit="1" customWidth="1"/>
    <col min="16109" max="16112" width="11.42578125" style="291"/>
    <col min="16113" max="16113" width="15.28515625" style="291" bestFit="1" customWidth="1"/>
    <col min="16114" max="16115" width="13.7109375" style="291" bestFit="1" customWidth="1"/>
    <col min="16116" max="16119" width="11.42578125" style="291"/>
    <col min="16120" max="16120" width="31" style="291" bestFit="1" customWidth="1"/>
    <col min="16121" max="16137" width="11.42578125" style="291"/>
    <col min="16138" max="16138" width="12.7109375" style="291" bestFit="1" customWidth="1"/>
    <col min="16139" max="16384" width="11.42578125" style="291"/>
  </cols>
  <sheetData>
    <row r="1" spans="1:13">
      <c r="A1" s="569" t="s">
        <v>400</v>
      </c>
      <c r="B1" s="569"/>
      <c r="C1" s="569"/>
      <c r="D1" s="569"/>
      <c r="E1" s="569"/>
      <c r="F1" s="569"/>
      <c r="G1" s="569"/>
      <c r="H1" s="569"/>
      <c r="I1" s="569"/>
    </row>
    <row r="2" spans="1:13">
      <c r="A2" s="569" t="s">
        <v>401</v>
      </c>
      <c r="B2" s="569"/>
      <c r="C2" s="569"/>
      <c r="D2" s="569"/>
      <c r="E2" s="569"/>
      <c r="F2" s="569"/>
      <c r="G2" s="569"/>
      <c r="H2" s="569"/>
      <c r="I2" s="569"/>
    </row>
    <row r="3" spans="1:13">
      <c r="A3" s="341"/>
      <c r="I3" s="341"/>
      <c r="K3" s="382"/>
      <c r="L3" s="382"/>
      <c r="M3" s="382"/>
    </row>
    <row r="4" spans="1:13" ht="31.5">
      <c r="A4" s="345" t="s">
        <v>412</v>
      </c>
      <c r="B4" s="345" t="s">
        <v>413</v>
      </c>
      <c r="C4" s="345" t="s">
        <v>409</v>
      </c>
      <c r="D4" s="345" t="s">
        <v>241</v>
      </c>
      <c r="E4" s="345" t="s">
        <v>240</v>
      </c>
      <c r="F4" s="345" t="s">
        <v>410</v>
      </c>
      <c r="G4" s="345" t="s">
        <v>43</v>
      </c>
      <c r="H4" s="345" t="s">
        <v>411</v>
      </c>
      <c r="I4" s="345" t="s">
        <v>276</v>
      </c>
      <c r="K4" s="382"/>
      <c r="L4" s="382" t="s">
        <v>402</v>
      </c>
      <c r="M4" s="382"/>
    </row>
    <row r="5" spans="1:13">
      <c r="A5" s="347" t="s">
        <v>404</v>
      </c>
      <c r="B5" s="348">
        <v>141038943.88</v>
      </c>
      <c r="C5" s="532">
        <v>176688011.64000002</v>
      </c>
      <c r="D5" s="532">
        <v>167839351.16000003</v>
      </c>
      <c r="E5" s="532">
        <v>440246645.03999996</v>
      </c>
      <c r="F5" s="532">
        <v>321482441.06999999</v>
      </c>
      <c r="G5" s="532">
        <v>328783685.63</v>
      </c>
      <c r="H5" s="532">
        <v>131980227.87</v>
      </c>
      <c r="I5" s="349">
        <f t="shared" ref="I5:I10" si="0">SUM(B5:H5)</f>
        <v>1708059306.29</v>
      </c>
      <c r="K5" s="382"/>
      <c r="L5" s="383" t="s">
        <v>403</v>
      </c>
      <c r="M5" s="382"/>
    </row>
    <row r="6" spans="1:13">
      <c r="A6" s="347" t="s">
        <v>405</v>
      </c>
      <c r="B6" s="348">
        <v>319825374.37</v>
      </c>
      <c r="C6" s="532">
        <v>499659326.55999988</v>
      </c>
      <c r="D6" s="532">
        <v>393600073.86000001</v>
      </c>
      <c r="E6" s="532">
        <v>531388348.85000008</v>
      </c>
      <c r="F6" s="532">
        <v>376380329.34000003</v>
      </c>
      <c r="G6" s="532">
        <v>504747514.44</v>
      </c>
      <c r="H6" s="532">
        <v>196060821.38999999</v>
      </c>
      <c r="I6" s="349">
        <f t="shared" si="0"/>
        <v>2821661788.8099999</v>
      </c>
      <c r="K6" s="382"/>
      <c r="L6" s="343" t="s">
        <v>408</v>
      </c>
      <c r="M6" s="382"/>
    </row>
    <row r="7" spans="1:13">
      <c r="A7" s="350">
        <v>2010</v>
      </c>
      <c r="B7" s="348">
        <v>416011992.67999995</v>
      </c>
      <c r="C7" s="532">
        <v>518078947.40000004</v>
      </c>
      <c r="D7" s="532">
        <v>615815226.54999983</v>
      </c>
      <c r="E7" s="532">
        <v>737890193.0999999</v>
      </c>
      <c r="F7" s="532">
        <v>827591968.73000002</v>
      </c>
      <c r="G7" s="532">
        <v>443780328.36000001</v>
      </c>
      <c r="H7" s="532">
        <v>510276007.17000002</v>
      </c>
      <c r="I7" s="349">
        <f t="shared" si="0"/>
        <v>4069444663.9899998</v>
      </c>
      <c r="K7" s="382"/>
      <c r="L7" s="343" t="s">
        <v>409</v>
      </c>
      <c r="M7" s="382"/>
    </row>
    <row r="8" spans="1:13">
      <c r="A8" s="350">
        <v>2011</v>
      </c>
      <c r="B8" s="349">
        <v>1124827734.03</v>
      </c>
      <c r="C8" s="349">
        <v>776151268.40999985</v>
      </c>
      <c r="D8" s="349">
        <v>869366743.73000002</v>
      </c>
      <c r="E8" s="349">
        <v>869507215.92999995</v>
      </c>
      <c r="F8" s="349">
        <v>1406825781.3400002</v>
      </c>
      <c r="G8" s="349">
        <v>1412256087.9500003</v>
      </c>
      <c r="H8" s="349">
        <v>788187748.41999996</v>
      </c>
      <c r="I8" s="349">
        <f t="shared" si="0"/>
        <v>7247122579.8100014</v>
      </c>
      <c r="K8" s="382"/>
      <c r="L8" s="343" t="s">
        <v>241</v>
      </c>
      <c r="M8" s="382"/>
    </row>
    <row r="9" spans="1:13">
      <c r="A9" s="350">
        <v>2012</v>
      </c>
      <c r="B9" s="349">
        <v>1140068754.6700001</v>
      </c>
      <c r="C9" s="349">
        <v>525257849.71000016</v>
      </c>
      <c r="D9" s="349">
        <v>905401645.29999995</v>
      </c>
      <c r="E9" s="349">
        <v>1005372534.2299999</v>
      </c>
      <c r="F9" s="349">
        <v>1797233970.02</v>
      </c>
      <c r="G9" s="349">
        <v>2491504592.8900003</v>
      </c>
      <c r="H9" s="349">
        <v>638740607.01000011</v>
      </c>
      <c r="I9" s="349">
        <f t="shared" si="0"/>
        <v>8503579953.8300009</v>
      </c>
      <c r="K9" s="382"/>
      <c r="L9" s="343" t="s">
        <v>240</v>
      </c>
      <c r="M9" s="382"/>
    </row>
    <row r="10" spans="1:13">
      <c r="A10" s="350">
        <v>2013</v>
      </c>
      <c r="B10" s="349">
        <v>1414373689.8399999</v>
      </c>
      <c r="C10" s="349">
        <v>789358143.5</v>
      </c>
      <c r="D10" s="349">
        <v>776418374.67000008</v>
      </c>
      <c r="E10" s="349">
        <v>1076799641.1099999</v>
      </c>
      <c r="F10" s="349">
        <v>1807744001.01</v>
      </c>
      <c r="G10" s="349">
        <v>3671179591.8200011</v>
      </c>
      <c r="H10" s="349">
        <v>404548164.94</v>
      </c>
      <c r="I10" s="349">
        <f t="shared" si="0"/>
        <v>9940421606.8900013</v>
      </c>
      <c r="K10" s="382"/>
      <c r="L10" s="343" t="s">
        <v>410</v>
      </c>
      <c r="M10" s="382"/>
    </row>
    <row r="11" spans="1:13">
      <c r="A11" s="350">
        <v>2014</v>
      </c>
      <c r="B11" s="349">
        <v>889223861.02999997</v>
      </c>
      <c r="C11" s="349">
        <v>557214266.26999998</v>
      </c>
      <c r="D11" s="349">
        <v>616284597.49000001</v>
      </c>
      <c r="E11" s="349">
        <v>910292888.02999997</v>
      </c>
      <c r="F11" s="349">
        <v>1461861124.1099999</v>
      </c>
      <c r="G11" s="349">
        <v>4014970529.75</v>
      </c>
      <c r="H11" s="349">
        <v>417363602.83999997</v>
      </c>
      <c r="I11" s="349">
        <f>SUM(B11:H11)</f>
        <v>8867210869.5199986</v>
      </c>
      <c r="K11" s="382"/>
      <c r="L11" s="343" t="s">
        <v>43</v>
      </c>
      <c r="M11" s="382"/>
    </row>
    <row r="12" spans="1:13">
      <c r="A12" s="350" t="s">
        <v>414</v>
      </c>
      <c r="B12" s="349">
        <v>446144457.93999994</v>
      </c>
      <c r="C12" s="349">
        <v>654180731.78000009</v>
      </c>
      <c r="D12" s="349">
        <v>526104407.48000014</v>
      </c>
      <c r="E12" s="349">
        <v>794705358.6099999</v>
      </c>
      <c r="F12" s="349">
        <v>1226746895.8500001</v>
      </c>
      <c r="G12" s="349">
        <v>3593604912.4199996</v>
      </c>
      <c r="H12" s="349">
        <v>375326644.17000002</v>
      </c>
      <c r="I12" s="349">
        <v>7616813408.25</v>
      </c>
      <c r="K12" s="382"/>
      <c r="L12" s="343" t="s">
        <v>411</v>
      </c>
      <c r="M12" s="382"/>
    </row>
    <row r="13" spans="1:13">
      <c r="A13" s="350" t="s">
        <v>415</v>
      </c>
      <c r="B13" s="349">
        <v>234040659.21000001</v>
      </c>
      <c r="C13" s="349">
        <v>386357049.55999994</v>
      </c>
      <c r="D13" s="349">
        <v>373166168.55999994</v>
      </c>
      <c r="E13" s="349">
        <v>933341783.53999996</v>
      </c>
      <c r="F13" s="349">
        <v>1074886960.4899998</v>
      </c>
      <c r="G13" s="349">
        <v>900298552.92999983</v>
      </c>
      <c r="H13" s="349">
        <v>349298041.14999998</v>
      </c>
      <c r="I13" s="349">
        <v>4251389215.4399996</v>
      </c>
      <c r="K13" s="382"/>
      <c r="L13" s="343" t="s">
        <v>407</v>
      </c>
      <c r="M13" s="382"/>
    </row>
    <row r="14" spans="1:13">
      <c r="B14" s="533"/>
      <c r="C14" s="533"/>
      <c r="D14" s="533"/>
      <c r="E14" s="533"/>
      <c r="F14" s="533"/>
      <c r="G14" s="533"/>
      <c r="H14" s="533"/>
      <c r="I14" s="533"/>
      <c r="K14" s="382"/>
      <c r="L14" s="382"/>
      <c r="M14" s="382"/>
    </row>
    <row r="15" spans="1:13">
      <c r="A15" s="570"/>
      <c r="B15" s="570"/>
      <c r="C15" s="570"/>
      <c r="D15" s="570"/>
      <c r="E15" s="570"/>
      <c r="F15" s="570"/>
      <c r="G15" s="570"/>
      <c r="H15" s="570"/>
      <c r="I15" s="570"/>
      <c r="K15" s="382"/>
      <c r="L15" s="382"/>
      <c r="M15" s="382"/>
    </row>
    <row r="16" spans="1:13">
      <c r="A16" s="571" t="s">
        <v>416</v>
      </c>
      <c r="B16" s="572"/>
      <c r="C16" s="572"/>
      <c r="D16" s="572"/>
      <c r="E16" s="572"/>
      <c r="F16" s="572"/>
      <c r="G16" s="572"/>
      <c r="H16" s="572"/>
      <c r="I16" s="573"/>
      <c r="K16" s="382"/>
      <c r="L16" s="382"/>
      <c r="M16" s="382"/>
    </row>
    <row r="17" spans="1:13">
      <c r="A17" s="352" t="s">
        <v>417</v>
      </c>
      <c r="B17" s="348">
        <v>70741719.74000001</v>
      </c>
      <c r="C17" s="348">
        <v>32611750.330000002</v>
      </c>
      <c r="D17" s="348">
        <v>25342136.479999993</v>
      </c>
      <c r="E17" s="348">
        <v>64338739.360000007</v>
      </c>
      <c r="F17" s="348">
        <v>53143602.049999997</v>
      </c>
      <c r="G17" s="348">
        <v>29576566.419999994</v>
      </c>
      <c r="H17" s="348">
        <v>19583929.739999998</v>
      </c>
      <c r="I17" s="349">
        <f>SUM(B17:H17)</f>
        <v>295338444.12</v>
      </c>
      <c r="K17" s="382"/>
      <c r="L17" s="382"/>
      <c r="M17" s="382"/>
    </row>
    <row r="18" spans="1:13">
      <c r="A18" s="352" t="s">
        <v>418</v>
      </c>
      <c r="B18" s="348">
        <v>15257222.970000001</v>
      </c>
      <c r="C18" s="348">
        <v>22577830.109999999</v>
      </c>
      <c r="D18" s="348">
        <v>25490993.310000002</v>
      </c>
      <c r="E18" s="348">
        <v>74328611.980000004</v>
      </c>
      <c r="F18" s="348">
        <v>62335400.960000008</v>
      </c>
      <c r="G18" s="348">
        <v>39061713.720000006</v>
      </c>
      <c r="H18" s="348">
        <v>29650427.900000002</v>
      </c>
      <c r="I18" s="349">
        <f>SUM(B18:H18)</f>
        <v>268702200.94999999</v>
      </c>
      <c r="K18" s="382"/>
      <c r="L18" s="382"/>
      <c r="M18" s="382"/>
    </row>
    <row r="19" spans="1:13">
      <c r="A19" s="352" t="s">
        <v>419</v>
      </c>
      <c r="B19" s="348">
        <v>11318153.510000002</v>
      </c>
      <c r="C19" s="348">
        <v>19303009.700000003</v>
      </c>
      <c r="D19" s="348">
        <v>31146262.449999996</v>
      </c>
      <c r="E19" s="348">
        <v>85224658.099999994</v>
      </c>
      <c r="F19" s="348">
        <v>70560580.519999981</v>
      </c>
      <c r="G19" s="348">
        <v>43881856.020000003</v>
      </c>
      <c r="H19" s="348">
        <v>42602994.519999996</v>
      </c>
      <c r="I19" s="349">
        <f>SUM(B19:H19)</f>
        <v>304037514.81999999</v>
      </c>
      <c r="K19" s="382"/>
      <c r="L19" s="382"/>
      <c r="M19" s="382"/>
    </row>
    <row r="20" spans="1:13">
      <c r="A20" s="352" t="s">
        <v>420</v>
      </c>
      <c r="B20" s="348">
        <v>14240287.27</v>
      </c>
      <c r="C20" s="348">
        <v>24668465.150000006</v>
      </c>
      <c r="D20" s="348">
        <v>32106211.799999997</v>
      </c>
      <c r="E20" s="348">
        <v>75447864.050000012</v>
      </c>
      <c r="F20" s="348">
        <v>88284602.219999999</v>
      </c>
      <c r="G20" s="348">
        <v>38228987.379999995</v>
      </c>
      <c r="H20" s="348">
        <v>38798073.439999998</v>
      </c>
      <c r="I20" s="349">
        <f>SUM(B20:H20)</f>
        <v>311774491.31</v>
      </c>
      <c r="K20" s="382"/>
      <c r="L20" s="382"/>
      <c r="M20" s="382"/>
    </row>
    <row r="21" spans="1:13">
      <c r="A21" s="352" t="s">
        <v>695</v>
      </c>
      <c r="B21" s="348">
        <v>12492786.779999999</v>
      </c>
      <c r="C21" s="348">
        <v>31975738.939999998</v>
      </c>
      <c r="D21" s="348">
        <v>39887211.359999992</v>
      </c>
      <c r="E21" s="348">
        <v>95099641.819999993</v>
      </c>
      <c r="F21" s="348">
        <v>98792173.930000007</v>
      </c>
      <c r="G21" s="348">
        <v>48212200.059999995</v>
      </c>
      <c r="H21" s="348">
        <v>54266846.530000001</v>
      </c>
      <c r="I21" s="349">
        <f>SUM(B21:H21)</f>
        <v>380726599.41999996</v>
      </c>
      <c r="K21" s="382"/>
      <c r="L21" s="382"/>
      <c r="M21" s="382"/>
    </row>
    <row r="22" spans="1:13">
      <c r="A22" s="353"/>
      <c r="B22" s="354"/>
      <c r="C22" s="354"/>
      <c r="D22" s="354"/>
      <c r="E22" s="354"/>
      <c r="F22" s="354"/>
      <c r="G22" s="354"/>
      <c r="H22" s="354"/>
      <c r="I22" s="355"/>
      <c r="K22" s="382"/>
      <c r="L22" s="382"/>
      <c r="M22" s="382"/>
    </row>
    <row r="23" spans="1:13" ht="21">
      <c r="A23" s="356" t="s">
        <v>751</v>
      </c>
      <c r="B23" s="348">
        <f>SUM(B17:B21)</f>
        <v>124050170.27000001</v>
      </c>
      <c r="C23" s="348">
        <f t="shared" ref="C23:H23" si="1">SUM(C17:C21)</f>
        <v>131136794.23</v>
      </c>
      <c r="D23" s="348">
        <f t="shared" si="1"/>
        <v>153972815.39999998</v>
      </c>
      <c r="E23" s="348">
        <f t="shared" si="1"/>
        <v>394439515.31</v>
      </c>
      <c r="F23" s="348">
        <f t="shared" si="1"/>
        <v>373116359.68000001</v>
      </c>
      <c r="G23" s="348">
        <f t="shared" si="1"/>
        <v>198961323.59999999</v>
      </c>
      <c r="H23" s="348">
        <f t="shared" si="1"/>
        <v>184902272.13</v>
      </c>
      <c r="I23" s="348">
        <f>SUM(B23:H23)</f>
        <v>1560579250.6199999</v>
      </c>
      <c r="K23" s="382"/>
      <c r="L23" s="382"/>
      <c r="M23" s="382"/>
    </row>
    <row r="24" spans="1:13" ht="21">
      <c r="A24" s="356" t="s">
        <v>752</v>
      </c>
      <c r="B24" s="348">
        <v>104474066.67999998</v>
      </c>
      <c r="C24" s="348">
        <v>147313534.96000001</v>
      </c>
      <c r="D24" s="348">
        <v>125997574.28999999</v>
      </c>
      <c r="E24" s="348">
        <v>328835131.04000002</v>
      </c>
      <c r="F24" s="348">
        <v>345518942.51999998</v>
      </c>
      <c r="G24" s="348">
        <v>455744531.17999995</v>
      </c>
      <c r="H24" s="348">
        <v>143227855.33000001</v>
      </c>
      <c r="I24" s="349">
        <f>SUM(B24:H24)</f>
        <v>1651111636</v>
      </c>
      <c r="K24" s="382"/>
      <c r="L24" s="382"/>
      <c r="M24" s="382"/>
    </row>
    <row r="25" spans="1:13">
      <c r="A25" s="357" t="s">
        <v>421</v>
      </c>
      <c r="B25" s="358">
        <f t="shared" ref="B25:H25" si="2">(+B23/B24)-1</f>
        <v>0.18737763554242481</v>
      </c>
      <c r="C25" s="359">
        <f t="shared" si="2"/>
        <v>-0.10981163906217084</v>
      </c>
      <c r="D25" s="358">
        <f t="shared" si="2"/>
        <v>0.22202999754274066</v>
      </c>
      <c r="E25" s="358">
        <f t="shared" si="2"/>
        <v>0.19950539975006421</v>
      </c>
      <c r="F25" s="358">
        <f t="shared" si="2"/>
        <v>7.987237098701927E-2</v>
      </c>
      <c r="G25" s="360">
        <f t="shared" si="2"/>
        <v>-0.56343672828096181</v>
      </c>
      <c r="H25" s="358">
        <f t="shared" si="2"/>
        <v>0.29096586487301113</v>
      </c>
      <c r="I25" s="360">
        <f>(+I23/I24)-1</f>
        <v>-5.4831171561073089E-2</v>
      </c>
      <c r="K25" s="382"/>
      <c r="L25" s="382"/>
      <c r="M25" s="382"/>
    </row>
    <row r="26" spans="1:13">
      <c r="A26" s="361"/>
      <c r="B26" s="362">
        <f t="shared" ref="B26:I26" si="3">+B23</f>
        <v>124050170.27000001</v>
      </c>
      <c r="C26" s="363">
        <f t="shared" si="3"/>
        <v>131136794.23</v>
      </c>
      <c r="D26" s="363">
        <f t="shared" si="3"/>
        <v>153972815.39999998</v>
      </c>
      <c r="E26" s="363">
        <f t="shared" si="3"/>
        <v>394439515.31</v>
      </c>
      <c r="F26" s="363">
        <f t="shared" si="3"/>
        <v>373116359.68000001</v>
      </c>
      <c r="G26" s="363">
        <f t="shared" si="3"/>
        <v>198961323.59999999</v>
      </c>
      <c r="H26" s="363">
        <f t="shared" si="3"/>
        <v>184902272.13</v>
      </c>
      <c r="I26" s="363">
        <f t="shared" si="3"/>
        <v>1560579250.6199999</v>
      </c>
      <c r="K26" s="382"/>
      <c r="L26" s="382"/>
      <c r="M26" s="382"/>
    </row>
    <row r="27" spans="1:13">
      <c r="A27" s="365" t="s">
        <v>422</v>
      </c>
      <c r="B27" s="364"/>
      <c r="C27" s="364"/>
      <c r="D27" s="366"/>
      <c r="E27" s="364"/>
      <c r="F27" s="364"/>
      <c r="G27" s="367"/>
      <c r="H27" s="367"/>
      <c r="I27" s="368"/>
      <c r="K27" s="382"/>
      <c r="L27" s="382"/>
      <c r="M27" s="382"/>
    </row>
    <row r="28" spans="1:13">
      <c r="A28" s="370" t="s">
        <v>423</v>
      </c>
      <c r="B28" s="371"/>
      <c r="C28" s="371"/>
      <c r="D28" s="371"/>
      <c r="E28" s="371"/>
      <c r="K28" s="382"/>
      <c r="L28" s="382"/>
      <c r="M28" s="382"/>
    </row>
    <row r="29" spans="1:13">
      <c r="A29" s="370" t="s">
        <v>424</v>
      </c>
      <c r="B29" s="372"/>
      <c r="C29" s="372"/>
      <c r="D29" s="372"/>
      <c r="E29" s="372"/>
      <c r="K29" s="382"/>
      <c r="L29" s="382"/>
      <c r="M29" s="382"/>
    </row>
    <row r="30" spans="1:13">
      <c r="A30" s="370"/>
      <c r="B30" s="373"/>
      <c r="C30" s="373"/>
      <c r="D30" s="373"/>
      <c r="E30" s="373"/>
      <c r="K30" s="382"/>
      <c r="L30" s="382"/>
      <c r="M30" s="382"/>
    </row>
    <row r="31" spans="1:13">
      <c r="A31" s="374" t="s">
        <v>425</v>
      </c>
      <c r="B31" s="375"/>
      <c r="C31" s="375"/>
      <c r="D31" s="376"/>
      <c r="E31" s="376"/>
      <c r="K31" s="382"/>
      <c r="L31" s="382"/>
      <c r="M31" s="382"/>
    </row>
    <row r="32" spans="1:13">
      <c r="A32" s="377"/>
      <c r="B32" s="375"/>
      <c r="C32" s="375"/>
      <c r="D32" s="376"/>
      <c r="E32" s="376"/>
      <c r="K32" s="382"/>
      <c r="L32" s="382"/>
      <c r="M32" s="382"/>
    </row>
    <row r="33" spans="1:5">
      <c r="A33" s="377" t="s">
        <v>753</v>
      </c>
      <c r="B33" s="378"/>
      <c r="C33" s="378"/>
      <c r="D33" s="341"/>
      <c r="E33" s="341"/>
    </row>
    <row r="34" spans="1:5">
      <c r="B34" s="378"/>
      <c r="C34" s="378"/>
      <c r="D34" s="341"/>
      <c r="E34" s="341"/>
    </row>
    <row r="35" spans="1:5">
      <c r="A35" s="377" t="s">
        <v>426</v>
      </c>
      <c r="B35" s="378"/>
      <c r="C35" s="378"/>
      <c r="D35" s="341"/>
      <c r="E35" s="341"/>
    </row>
    <row r="36" spans="1:5">
      <c r="A36" s="379" t="s">
        <v>427</v>
      </c>
      <c r="B36" s="380"/>
      <c r="C36" s="380"/>
      <c r="D36" s="380"/>
      <c r="E36" s="380"/>
    </row>
  </sheetData>
  <mergeCells count="4">
    <mergeCell ref="A1:I1"/>
    <mergeCell ref="A2:I2"/>
    <mergeCell ref="A15:I15"/>
    <mergeCell ref="A16:I16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F69"/>
  <sheetViews>
    <sheetView workbookViewId="0"/>
  </sheetViews>
  <sheetFormatPr baseColWidth="10" defaultRowHeight="15"/>
  <cols>
    <col min="1" max="2" width="11.42578125" style="291"/>
    <col min="3" max="3" width="55.7109375" style="291" bestFit="1" customWidth="1"/>
    <col min="4" max="5" width="12.7109375" style="291" bestFit="1" customWidth="1"/>
    <col min="6" max="258" width="11.42578125" style="291"/>
    <col min="259" max="259" width="55.7109375" style="291" bestFit="1" customWidth="1"/>
    <col min="260" max="261" width="12.7109375" style="291" bestFit="1" customWidth="1"/>
    <col min="262" max="514" width="11.42578125" style="291"/>
    <col min="515" max="515" width="55.7109375" style="291" bestFit="1" customWidth="1"/>
    <col min="516" max="517" width="12.7109375" style="291" bestFit="1" customWidth="1"/>
    <col min="518" max="770" width="11.42578125" style="291"/>
    <col min="771" max="771" width="55.7109375" style="291" bestFit="1" customWidth="1"/>
    <col min="772" max="773" width="12.7109375" style="291" bestFit="1" customWidth="1"/>
    <col min="774" max="1026" width="11.42578125" style="291"/>
    <col min="1027" max="1027" width="55.7109375" style="291" bestFit="1" customWidth="1"/>
    <col min="1028" max="1029" width="12.7109375" style="291" bestFit="1" customWidth="1"/>
    <col min="1030" max="1282" width="11.42578125" style="291"/>
    <col min="1283" max="1283" width="55.7109375" style="291" bestFit="1" customWidth="1"/>
    <col min="1284" max="1285" width="12.7109375" style="291" bestFit="1" customWidth="1"/>
    <col min="1286" max="1538" width="11.42578125" style="291"/>
    <col min="1539" max="1539" width="55.7109375" style="291" bestFit="1" customWidth="1"/>
    <col min="1540" max="1541" width="12.7109375" style="291" bestFit="1" customWidth="1"/>
    <col min="1542" max="1794" width="11.42578125" style="291"/>
    <col min="1795" max="1795" width="55.7109375" style="291" bestFit="1" customWidth="1"/>
    <col min="1796" max="1797" width="12.7109375" style="291" bestFit="1" customWidth="1"/>
    <col min="1798" max="2050" width="11.42578125" style="291"/>
    <col min="2051" max="2051" width="55.7109375" style="291" bestFit="1" customWidth="1"/>
    <col min="2052" max="2053" width="12.7109375" style="291" bestFit="1" customWidth="1"/>
    <col min="2054" max="2306" width="11.42578125" style="291"/>
    <col min="2307" max="2307" width="55.7109375" style="291" bestFit="1" customWidth="1"/>
    <col min="2308" max="2309" width="12.7109375" style="291" bestFit="1" customWidth="1"/>
    <col min="2310" max="2562" width="11.42578125" style="291"/>
    <col min="2563" max="2563" width="55.7109375" style="291" bestFit="1" customWidth="1"/>
    <col min="2564" max="2565" width="12.7109375" style="291" bestFit="1" customWidth="1"/>
    <col min="2566" max="2818" width="11.42578125" style="291"/>
    <col min="2819" max="2819" width="55.7109375" style="291" bestFit="1" customWidth="1"/>
    <col min="2820" max="2821" width="12.7109375" style="291" bestFit="1" customWidth="1"/>
    <col min="2822" max="3074" width="11.42578125" style="291"/>
    <col min="3075" max="3075" width="55.7109375" style="291" bestFit="1" customWidth="1"/>
    <col min="3076" max="3077" width="12.7109375" style="291" bestFit="1" customWidth="1"/>
    <col min="3078" max="3330" width="11.42578125" style="291"/>
    <col min="3331" max="3331" width="55.7109375" style="291" bestFit="1" customWidth="1"/>
    <col min="3332" max="3333" width="12.7109375" style="291" bestFit="1" customWidth="1"/>
    <col min="3334" max="3586" width="11.42578125" style="291"/>
    <col min="3587" max="3587" width="55.7109375" style="291" bestFit="1" customWidth="1"/>
    <col min="3588" max="3589" width="12.7109375" style="291" bestFit="1" customWidth="1"/>
    <col min="3590" max="3842" width="11.42578125" style="291"/>
    <col min="3843" max="3843" width="55.7109375" style="291" bestFit="1" customWidth="1"/>
    <col min="3844" max="3845" width="12.7109375" style="291" bestFit="1" customWidth="1"/>
    <col min="3846" max="4098" width="11.42578125" style="291"/>
    <col min="4099" max="4099" width="55.7109375" style="291" bestFit="1" customWidth="1"/>
    <col min="4100" max="4101" width="12.7109375" style="291" bestFit="1" customWidth="1"/>
    <col min="4102" max="4354" width="11.42578125" style="291"/>
    <col min="4355" max="4355" width="55.7109375" style="291" bestFit="1" customWidth="1"/>
    <col min="4356" max="4357" width="12.7109375" style="291" bestFit="1" customWidth="1"/>
    <col min="4358" max="4610" width="11.42578125" style="291"/>
    <col min="4611" max="4611" width="55.7109375" style="291" bestFit="1" customWidth="1"/>
    <col min="4612" max="4613" width="12.7109375" style="291" bestFit="1" customWidth="1"/>
    <col min="4614" max="4866" width="11.42578125" style="291"/>
    <col min="4867" max="4867" width="55.7109375" style="291" bestFit="1" customWidth="1"/>
    <col min="4868" max="4869" width="12.7109375" style="291" bestFit="1" customWidth="1"/>
    <col min="4870" max="5122" width="11.42578125" style="291"/>
    <col min="5123" max="5123" width="55.7109375" style="291" bestFit="1" customWidth="1"/>
    <col min="5124" max="5125" width="12.7109375" style="291" bestFit="1" customWidth="1"/>
    <col min="5126" max="5378" width="11.42578125" style="291"/>
    <col min="5379" max="5379" width="55.7109375" style="291" bestFit="1" customWidth="1"/>
    <col min="5380" max="5381" width="12.7109375" style="291" bestFit="1" customWidth="1"/>
    <col min="5382" max="5634" width="11.42578125" style="291"/>
    <col min="5635" max="5635" width="55.7109375" style="291" bestFit="1" customWidth="1"/>
    <col min="5636" max="5637" width="12.7109375" style="291" bestFit="1" customWidth="1"/>
    <col min="5638" max="5890" width="11.42578125" style="291"/>
    <col min="5891" max="5891" width="55.7109375" style="291" bestFit="1" customWidth="1"/>
    <col min="5892" max="5893" width="12.7109375" style="291" bestFit="1" customWidth="1"/>
    <col min="5894" max="6146" width="11.42578125" style="291"/>
    <col min="6147" max="6147" width="55.7109375" style="291" bestFit="1" customWidth="1"/>
    <col min="6148" max="6149" width="12.7109375" style="291" bestFit="1" customWidth="1"/>
    <col min="6150" max="6402" width="11.42578125" style="291"/>
    <col min="6403" max="6403" width="55.7109375" style="291" bestFit="1" customWidth="1"/>
    <col min="6404" max="6405" width="12.7109375" style="291" bestFit="1" customWidth="1"/>
    <col min="6406" max="6658" width="11.42578125" style="291"/>
    <col min="6659" max="6659" width="55.7109375" style="291" bestFit="1" customWidth="1"/>
    <col min="6660" max="6661" width="12.7109375" style="291" bestFit="1" customWidth="1"/>
    <col min="6662" max="6914" width="11.42578125" style="291"/>
    <col min="6915" max="6915" width="55.7109375" style="291" bestFit="1" customWidth="1"/>
    <col min="6916" max="6917" width="12.7109375" style="291" bestFit="1" customWidth="1"/>
    <col min="6918" max="7170" width="11.42578125" style="291"/>
    <col min="7171" max="7171" width="55.7109375" style="291" bestFit="1" customWidth="1"/>
    <col min="7172" max="7173" width="12.7109375" style="291" bestFit="1" customWidth="1"/>
    <col min="7174" max="7426" width="11.42578125" style="291"/>
    <col min="7427" max="7427" width="55.7109375" style="291" bestFit="1" customWidth="1"/>
    <col min="7428" max="7429" width="12.7109375" style="291" bestFit="1" customWidth="1"/>
    <col min="7430" max="7682" width="11.42578125" style="291"/>
    <col min="7683" max="7683" width="55.7109375" style="291" bestFit="1" customWidth="1"/>
    <col min="7684" max="7685" width="12.7109375" style="291" bestFit="1" customWidth="1"/>
    <col min="7686" max="7938" width="11.42578125" style="291"/>
    <col min="7939" max="7939" width="55.7109375" style="291" bestFit="1" customWidth="1"/>
    <col min="7940" max="7941" width="12.7109375" style="291" bestFit="1" customWidth="1"/>
    <col min="7942" max="8194" width="11.42578125" style="291"/>
    <col min="8195" max="8195" width="55.7109375" style="291" bestFit="1" customWidth="1"/>
    <col min="8196" max="8197" width="12.7109375" style="291" bestFit="1" customWidth="1"/>
    <col min="8198" max="8450" width="11.42578125" style="291"/>
    <col min="8451" max="8451" width="55.7109375" style="291" bestFit="1" customWidth="1"/>
    <col min="8452" max="8453" width="12.7109375" style="291" bestFit="1" customWidth="1"/>
    <col min="8454" max="8706" width="11.42578125" style="291"/>
    <col min="8707" max="8707" width="55.7109375" style="291" bestFit="1" customWidth="1"/>
    <col min="8708" max="8709" width="12.7109375" style="291" bestFit="1" customWidth="1"/>
    <col min="8710" max="8962" width="11.42578125" style="291"/>
    <col min="8963" max="8963" width="55.7109375" style="291" bestFit="1" customWidth="1"/>
    <col min="8964" max="8965" width="12.7109375" style="291" bestFit="1" customWidth="1"/>
    <col min="8966" max="9218" width="11.42578125" style="291"/>
    <col min="9219" max="9219" width="55.7109375" style="291" bestFit="1" customWidth="1"/>
    <col min="9220" max="9221" width="12.7109375" style="291" bestFit="1" customWidth="1"/>
    <col min="9222" max="9474" width="11.42578125" style="291"/>
    <col min="9475" max="9475" width="55.7109375" style="291" bestFit="1" customWidth="1"/>
    <col min="9476" max="9477" width="12.7109375" style="291" bestFit="1" customWidth="1"/>
    <col min="9478" max="9730" width="11.42578125" style="291"/>
    <col min="9731" max="9731" width="55.7109375" style="291" bestFit="1" customWidth="1"/>
    <col min="9732" max="9733" width="12.7109375" style="291" bestFit="1" customWidth="1"/>
    <col min="9734" max="9986" width="11.42578125" style="291"/>
    <col min="9987" max="9987" width="55.7109375" style="291" bestFit="1" customWidth="1"/>
    <col min="9988" max="9989" width="12.7109375" style="291" bestFit="1" customWidth="1"/>
    <col min="9990" max="10242" width="11.42578125" style="291"/>
    <col min="10243" max="10243" width="55.7109375" style="291" bestFit="1" customWidth="1"/>
    <col min="10244" max="10245" width="12.7109375" style="291" bestFit="1" customWidth="1"/>
    <col min="10246" max="10498" width="11.42578125" style="291"/>
    <col min="10499" max="10499" width="55.7109375" style="291" bestFit="1" customWidth="1"/>
    <col min="10500" max="10501" width="12.7109375" style="291" bestFit="1" customWidth="1"/>
    <col min="10502" max="10754" width="11.42578125" style="291"/>
    <col min="10755" max="10755" width="55.7109375" style="291" bestFit="1" customWidth="1"/>
    <col min="10756" max="10757" width="12.7109375" style="291" bestFit="1" customWidth="1"/>
    <col min="10758" max="11010" width="11.42578125" style="291"/>
    <col min="11011" max="11011" width="55.7109375" style="291" bestFit="1" customWidth="1"/>
    <col min="11012" max="11013" width="12.7109375" style="291" bestFit="1" customWidth="1"/>
    <col min="11014" max="11266" width="11.42578125" style="291"/>
    <col min="11267" max="11267" width="55.7109375" style="291" bestFit="1" customWidth="1"/>
    <col min="11268" max="11269" width="12.7109375" style="291" bestFit="1" customWidth="1"/>
    <col min="11270" max="11522" width="11.42578125" style="291"/>
    <col min="11523" max="11523" width="55.7109375" style="291" bestFit="1" customWidth="1"/>
    <col min="11524" max="11525" width="12.7109375" style="291" bestFit="1" customWidth="1"/>
    <col min="11526" max="11778" width="11.42578125" style="291"/>
    <col min="11779" max="11779" width="55.7109375" style="291" bestFit="1" customWidth="1"/>
    <col min="11780" max="11781" width="12.7109375" style="291" bestFit="1" customWidth="1"/>
    <col min="11782" max="12034" width="11.42578125" style="291"/>
    <col min="12035" max="12035" width="55.7109375" style="291" bestFit="1" customWidth="1"/>
    <col min="12036" max="12037" width="12.7109375" style="291" bestFit="1" customWidth="1"/>
    <col min="12038" max="12290" width="11.42578125" style="291"/>
    <col min="12291" max="12291" width="55.7109375" style="291" bestFit="1" customWidth="1"/>
    <col min="12292" max="12293" width="12.7109375" style="291" bestFit="1" customWidth="1"/>
    <col min="12294" max="12546" width="11.42578125" style="291"/>
    <col min="12547" max="12547" width="55.7109375" style="291" bestFit="1" customWidth="1"/>
    <col min="12548" max="12549" width="12.7109375" style="291" bestFit="1" customWidth="1"/>
    <col min="12550" max="12802" width="11.42578125" style="291"/>
    <col min="12803" max="12803" width="55.7109375" style="291" bestFit="1" customWidth="1"/>
    <col min="12804" max="12805" width="12.7109375" style="291" bestFit="1" customWidth="1"/>
    <col min="12806" max="13058" width="11.42578125" style="291"/>
    <col min="13059" max="13059" width="55.7109375" style="291" bestFit="1" customWidth="1"/>
    <col min="13060" max="13061" width="12.7109375" style="291" bestFit="1" customWidth="1"/>
    <col min="13062" max="13314" width="11.42578125" style="291"/>
    <col min="13315" max="13315" width="55.7109375" style="291" bestFit="1" customWidth="1"/>
    <col min="13316" max="13317" width="12.7109375" style="291" bestFit="1" customWidth="1"/>
    <col min="13318" max="13570" width="11.42578125" style="291"/>
    <col min="13571" max="13571" width="55.7109375" style="291" bestFit="1" customWidth="1"/>
    <col min="13572" max="13573" width="12.7109375" style="291" bestFit="1" customWidth="1"/>
    <col min="13574" max="13826" width="11.42578125" style="291"/>
    <col min="13827" max="13827" width="55.7109375" style="291" bestFit="1" customWidth="1"/>
    <col min="13828" max="13829" width="12.7109375" style="291" bestFit="1" customWidth="1"/>
    <col min="13830" max="14082" width="11.42578125" style="291"/>
    <col min="14083" max="14083" width="55.7109375" style="291" bestFit="1" customWidth="1"/>
    <col min="14084" max="14085" width="12.7109375" style="291" bestFit="1" customWidth="1"/>
    <col min="14086" max="14338" width="11.42578125" style="291"/>
    <col min="14339" max="14339" width="55.7109375" style="291" bestFit="1" customWidth="1"/>
    <col min="14340" max="14341" width="12.7109375" style="291" bestFit="1" customWidth="1"/>
    <col min="14342" max="14594" width="11.42578125" style="291"/>
    <col min="14595" max="14595" width="55.7109375" style="291" bestFit="1" customWidth="1"/>
    <col min="14596" max="14597" width="12.7109375" style="291" bestFit="1" customWidth="1"/>
    <col min="14598" max="14850" width="11.42578125" style="291"/>
    <col min="14851" max="14851" width="55.7109375" style="291" bestFit="1" customWidth="1"/>
    <col min="14852" max="14853" width="12.7109375" style="291" bestFit="1" customWidth="1"/>
    <col min="14854" max="15106" width="11.42578125" style="291"/>
    <col min="15107" max="15107" width="55.7109375" style="291" bestFit="1" customWidth="1"/>
    <col min="15108" max="15109" width="12.7109375" style="291" bestFit="1" customWidth="1"/>
    <col min="15110" max="15362" width="11.42578125" style="291"/>
    <col min="15363" max="15363" width="55.7109375" style="291" bestFit="1" customWidth="1"/>
    <col min="15364" max="15365" width="12.7109375" style="291" bestFit="1" customWidth="1"/>
    <col min="15366" max="15618" width="11.42578125" style="291"/>
    <col min="15619" max="15619" width="55.7109375" style="291" bestFit="1" customWidth="1"/>
    <col min="15620" max="15621" width="12.7109375" style="291" bestFit="1" customWidth="1"/>
    <col min="15622" max="15874" width="11.42578125" style="291"/>
    <col min="15875" max="15875" width="55.7109375" style="291" bestFit="1" customWidth="1"/>
    <col min="15876" max="15877" width="12.7109375" style="291" bestFit="1" customWidth="1"/>
    <col min="15878" max="16130" width="11.42578125" style="291"/>
    <col min="16131" max="16131" width="55.7109375" style="291" bestFit="1" customWidth="1"/>
    <col min="16132" max="16133" width="12.7109375" style="291" bestFit="1" customWidth="1"/>
    <col min="16134" max="16384" width="11.42578125" style="291"/>
  </cols>
  <sheetData>
    <row r="2" spans="2:6">
      <c r="B2" s="574" t="s">
        <v>437</v>
      </c>
      <c r="C2" s="574"/>
      <c r="D2" s="574"/>
      <c r="E2" s="574"/>
      <c r="F2" s="574"/>
    </row>
    <row r="3" spans="2:6">
      <c r="B3" s="574" t="s">
        <v>754</v>
      </c>
      <c r="C3" s="574"/>
      <c r="D3" s="574"/>
      <c r="E3" s="574"/>
      <c r="F3" s="574"/>
    </row>
    <row r="4" spans="2:6" ht="15.75" thickBot="1">
      <c r="B4" s="574" t="s">
        <v>401</v>
      </c>
      <c r="C4" s="574"/>
      <c r="D4" s="574"/>
      <c r="E4" s="574"/>
      <c r="F4" s="574"/>
    </row>
    <row r="5" spans="2:6" ht="15.75" thickBot="1">
      <c r="D5" s="575" t="s">
        <v>755</v>
      </c>
      <c r="E5" s="576"/>
      <c r="F5" s="577"/>
    </row>
    <row r="6" spans="2:6" ht="30.75" thickBot="1">
      <c r="B6" s="384" t="s">
        <v>438</v>
      </c>
      <c r="C6" s="385" t="s">
        <v>439</v>
      </c>
      <c r="D6" s="386" t="s">
        <v>406</v>
      </c>
      <c r="E6" s="386" t="s">
        <v>440</v>
      </c>
      <c r="F6" s="387" t="s">
        <v>441</v>
      </c>
    </row>
    <row r="7" spans="2:6">
      <c r="B7" s="388" t="s">
        <v>442</v>
      </c>
      <c r="C7" s="389" t="s">
        <v>41</v>
      </c>
      <c r="D7" s="390">
        <v>221697069</v>
      </c>
      <c r="E7" s="390">
        <v>221794785</v>
      </c>
      <c r="F7" s="534">
        <f>+E7/D7-1</f>
        <v>4.4076360793021685E-4</v>
      </c>
    </row>
    <row r="8" spans="2:6">
      <c r="B8" s="388" t="s">
        <v>443</v>
      </c>
      <c r="C8" s="389" t="s">
        <v>40</v>
      </c>
      <c r="D8" s="390">
        <v>221021443</v>
      </c>
      <c r="E8" s="390">
        <v>161636451</v>
      </c>
      <c r="F8" s="391">
        <f t="shared" ref="F8:F58" si="0">+E8/D8-1</f>
        <v>-0.26868430136889476</v>
      </c>
    </row>
    <row r="9" spans="2:6">
      <c r="B9" s="388" t="s">
        <v>444</v>
      </c>
      <c r="C9" s="389" t="s">
        <v>33</v>
      </c>
      <c r="D9" s="390">
        <v>86278683</v>
      </c>
      <c r="E9" s="390">
        <v>116324285</v>
      </c>
      <c r="F9" s="392">
        <f t="shared" si="0"/>
        <v>0.34823899664764246</v>
      </c>
    </row>
    <row r="10" spans="2:6">
      <c r="B10" s="388" t="s">
        <v>445</v>
      </c>
      <c r="C10" s="389" t="s">
        <v>249</v>
      </c>
      <c r="D10" s="390">
        <v>59843237.579999998</v>
      </c>
      <c r="E10" s="390">
        <v>100395302.08999997</v>
      </c>
      <c r="F10" s="392">
        <f t="shared" si="0"/>
        <v>0.67763821193311813</v>
      </c>
    </row>
    <row r="11" spans="2:6">
      <c r="B11" s="388" t="s">
        <v>446</v>
      </c>
      <c r="C11" s="389" t="s">
        <v>48</v>
      </c>
      <c r="D11" s="390">
        <v>61760644</v>
      </c>
      <c r="E11" s="390">
        <v>82302793</v>
      </c>
      <c r="F11" s="392">
        <f t="shared" si="0"/>
        <v>0.33260904792378776</v>
      </c>
    </row>
    <row r="12" spans="2:6">
      <c r="B12" s="388" t="s">
        <v>447</v>
      </c>
      <c r="C12" s="389" t="s">
        <v>47</v>
      </c>
      <c r="D12" s="390">
        <v>84370767</v>
      </c>
      <c r="E12" s="390">
        <v>80649470</v>
      </c>
      <c r="F12" s="391">
        <f t="shared" si="0"/>
        <v>-4.4106473513509714E-2</v>
      </c>
    </row>
    <row r="13" spans="2:6">
      <c r="B13" s="388" t="s">
        <v>448</v>
      </c>
      <c r="C13" s="389" t="s">
        <v>39</v>
      </c>
      <c r="D13" s="390">
        <v>75460469</v>
      </c>
      <c r="E13" s="390">
        <v>57081165.25</v>
      </c>
      <c r="F13" s="391">
        <f t="shared" si="0"/>
        <v>-0.24356201324431204</v>
      </c>
    </row>
    <row r="14" spans="2:6">
      <c r="B14" s="388" t="s">
        <v>449</v>
      </c>
      <c r="C14" s="389" t="s">
        <v>298</v>
      </c>
      <c r="D14" s="390">
        <v>154965343</v>
      </c>
      <c r="E14" s="390">
        <v>51576875</v>
      </c>
      <c r="F14" s="391">
        <f t="shared" si="0"/>
        <v>-0.66717154944767232</v>
      </c>
    </row>
    <row r="15" spans="2:6">
      <c r="B15" s="388" t="s">
        <v>450</v>
      </c>
      <c r="C15" s="389" t="s">
        <v>35</v>
      </c>
      <c r="D15" s="390">
        <v>53760285.469999999</v>
      </c>
      <c r="E15" s="390">
        <v>46929982.099999994</v>
      </c>
      <c r="F15" s="391">
        <f t="shared" si="0"/>
        <v>-0.12705109934379977</v>
      </c>
    </row>
    <row r="16" spans="2:6">
      <c r="B16" s="388" t="s">
        <v>451</v>
      </c>
      <c r="C16" s="389" t="s">
        <v>212</v>
      </c>
      <c r="D16" s="390">
        <v>56038207.68</v>
      </c>
      <c r="E16" s="390">
        <v>45604021.469999999</v>
      </c>
      <c r="F16" s="391">
        <f t="shared" si="0"/>
        <v>-0.1861977147731646</v>
      </c>
    </row>
    <row r="17" spans="2:6">
      <c r="B17" s="388" t="s">
        <v>452</v>
      </c>
      <c r="C17" s="389" t="s">
        <v>453</v>
      </c>
      <c r="D17" s="390">
        <v>26893407</v>
      </c>
      <c r="E17" s="390">
        <v>40418277</v>
      </c>
      <c r="F17" s="392">
        <f t="shared" si="0"/>
        <v>0.5029065302138922</v>
      </c>
    </row>
    <row r="18" spans="2:6">
      <c r="B18" s="388" t="s">
        <v>454</v>
      </c>
      <c r="C18" s="389" t="s">
        <v>352</v>
      </c>
      <c r="D18" s="390">
        <v>57964000</v>
      </c>
      <c r="E18" s="390">
        <v>36854000</v>
      </c>
      <c r="F18" s="391">
        <f t="shared" si="0"/>
        <v>-0.36419156717962875</v>
      </c>
    </row>
    <row r="19" spans="2:6">
      <c r="B19" s="388" t="s">
        <v>456</v>
      </c>
      <c r="C19" s="389" t="s">
        <v>455</v>
      </c>
      <c r="D19" s="390">
        <v>46580220</v>
      </c>
      <c r="E19" s="390">
        <v>35840280</v>
      </c>
      <c r="F19" s="391">
        <f t="shared" si="0"/>
        <v>-0.23056868344546244</v>
      </c>
    </row>
    <row r="20" spans="2:6">
      <c r="B20" s="388" t="s">
        <v>457</v>
      </c>
      <c r="C20" s="389" t="s">
        <v>330</v>
      </c>
      <c r="D20" s="390">
        <v>23037852</v>
      </c>
      <c r="E20" s="390">
        <v>29090663.169999998</v>
      </c>
      <c r="F20" s="392">
        <f t="shared" si="0"/>
        <v>0.26273331255014565</v>
      </c>
    </row>
    <row r="21" spans="2:6">
      <c r="B21" s="388" t="s">
        <v>458</v>
      </c>
      <c r="C21" s="389" t="s">
        <v>51</v>
      </c>
      <c r="D21" s="390">
        <v>15634130</v>
      </c>
      <c r="E21" s="390">
        <v>25335632</v>
      </c>
      <c r="F21" s="392">
        <f t="shared" si="0"/>
        <v>0.62053353784316756</v>
      </c>
    </row>
    <row r="22" spans="2:6">
      <c r="B22" s="393" t="s">
        <v>459</v>
      </c>
      <c r="C22" s="389" t="s">
        <v>49</v>
      </c>
      <c r="D22" s="390">
        <v>19262224.670000002</v>
      </c>
      <c r="E22" s="390">
        <v>23959828</v>
      </c>
      <c r="F22" s="392">
        <f t="shared" si="0"/>
        <v>0.24387646860522261</v>
      </c>
    </row>
    <row r="23" spans="2:6">
      <c r="B23" s="388" t="s">
        <v>461</v>
      </c>
      <c r="C23" s="389" t="s">
        <v>36</v>
      </c>
      <c r="D23" s="390">
        <v>19216385</v>
      </c>
      <c r="E23" s="390">
        <v>23633354</v>
      </c>
      <c r="F23" s="392">
        <f t="shared" si="0"/>
        <v>0.22985431443010751</v>
      </c>
    </row>
    <row r="24" spans="2:6">
      <c r="B24" s="388" t="s">
        <v>462</v>
      </c>
      <c r="C24" s="389" t="s">
        <v>460</v>
      </c>
      <c r="D24" s="390">
        <v>5018118.42</v>
      </c>
      <c r="E24" s="390">
        <v>21632155.969999999</v>
      </c>
      <c r="F24" s="392" t="s">
        <v>159</v>
      </c>
    </row>
    <row r="25" spans="2:6">
      <c r="B25" s="388" t="s">
        <v>463</v>
      </c>
      <c r="C25" s="389" t="s">
        <v>37</v>
      </c>
      <c r="D25" s="390">
        <v>29680867.149999999</v>
      </c>
      <c r="E25" s="390">
        <v>17085504</v>
      </c>
      <c r="F25" s="391">
        <f t="shared" si="0"/>
        <v>-0.42435967542141029</v>
      </c>
    </row>
    <row r="26" spans="2:6">
      <c r="B26" s="388" t="s">
        <v>464</v>
      </c>
      <c r="C26" s="389" t="s">
        <v>356</v>
      </c>
      <c r="D26" s="390">
        <v>201956</v>
      </c>
      <c r="E26" s="390">
        <v>16911406</v>
      </c>
      <c r="F26" s="392" t="s">
        <v>159</v>
      </c>
    </row>
    <row r="27" spans="2:6">
      <c r="B27" s="388" t="s">
        <v>465</v>
      </c>
      <c r="C27" s="389" t="s">
        <v>466</v>
      </c>
      <c r="D27" s="390">
        <v>7495442.8200000003</v>
      </c>
      <c r="E27" s="390">
        <v>16470330.109999999</v>
      </c>
      <c r="F27" s="392">
        <f t="shared" si="0"/>
        <v>1.1973791950026507</v>
      </c>
    </row>
    <row r="28" spans="2:6">
      <c r="B28" s="388" t="s">
        <v>467</v>
      </c>
      <c r="C28" s="389" t="s">
        <v>468</v>
      </c>
      <c r="D28" s="390">
        <v>9481459.7300000004</v>
      </c>
      <c r="E28" s="390">
        <v>14566563.719999999</v>
      </c>
      <c r="F28" s="392">
        <f t="shared" si="0"/>
        <v>0.53632079181967884</v>
      </c>
    </row>
    <row r="29" spans="2:6">
      <c r="B29" s="388" t="s">
        <v>469</v>
      </c>
      <c r="C29" s="389" t="s">
        <v>470</v>
      </c>
      <c r="D29" s="390">
        <v>16652100</v>
      </c>
      <c r="E29" s="390">
        <v>13809441</v>
      </c>
      <c r="F29" s="391">
        <f t="shared" si="0"/>
        <v>-0.17070873943826903</v>
      </c>
    </row>
    <row r="30" spans="2:6">
      <c r="B30" s="388" t="s">
        <v>471</v>
      </c>
      <c r="C30" s="389" t="s">
        <v>52</v>
      </c>
      <c r="D30" s="390">
        <v>7486817</v>
      </c>
      <c r="E30" s="390">
        <v>13026320</v>
      </c>
      <c r="F30" s="392">
        <f t="shared" si="0"/>
        <v>0.73990094856065003</v>
      </c>
    </row>
    <row r="31" spans="2:6">
      <c r="B31" s="388" t="s">
        <v>472</v>
      </c>
      <c r="C31" s="389" t="s">
        <v>34</v>
      </c>
      <c r="D31" s="390">
        <v>7073116</v>
      </c>
      <c r="E31" s="390">
        <v>12917510</v>
      </c>
      <c r="F31" s="392">
        <f t="shared" si="0"/>
        <v>0.82628278682266765</v>
      </c>
    </row>
    <row r="32" spans="2:6">
      <c r="B32" s="388" t="s">
        <v>473</v>
      </c>
      <c r="C32" s="389" t="s">
        <v>756</v>
      </c>
      <c r="D32" s="390">
        <v>16392141.41</v>
      </c>
      <c r="E32" s="390">
        <v>12321612.960000001</v>
      </c>
      <c r="F32" s="391">
        <f t="shared" si="0"/>
        <v>-0.24832194575363897</v>
      </c>
    </row>
    <row r="33" spans="2:6">
      <c r="B33" s="388" t="s">
        <v>474</v>
      </c>
      <c r="C33" s="389" t="s">
        <v>84</v>
      </c>
      <c r="D33" s="390">
        <v>9932433.0399999991</v>
      </c>
      <c r="E33" s="390">
        <v>10886171.35</v>
      </c>
      <c r="F33" s="392">
        <f t="shared" si="0"/>
        <v>9.6022626697717994E-2</v>
      </c>
    </row>
    <row r="34" spans="2:6">
      <c r="B34" s="388" t="s">
        <v>475</v>
      </c>
      <c r="C34" s="389" t="s">
        <v>353</v>
      </c>
      <c r="D34" s="390">
        <v>12857436</v>
      </c>
      <c r="E34" s="390">
        <v>9521599</v>
      </c>
      <c r="F34" s="391">
        <f t="shared" si="0"/>
        <v>-0.25944807347281373</v>
      </c>
    </row>
    <row r="35" spans="2:6">
      <c r="B35" s="388" t="s">
        <v>477</v>
      </c>
      <c r="C35" s="389" t="s">
        <v>476</v>
      </c>
      <c r="D35" s="390">
        <v>5667814.3500000006</v>
      </c>
      <c r="E35" s="390">
        <v>9122825.1100000013</v>
      </c>
      <c r="F35" s="392">
        <f t="shared" si="0"/>
        <v>0.60958432062969736</v>
      </c>
    </row>
    <row r="36" spans="2:6">
      <c r="B36" s="388" t="s">
        <v>478</v>
      </c>
      <c r="C36" s="389" t="s">
        <v>480</v>
      </c>
      <c r="D36" s="390">
        <v>7058500</v>
      </c>
      <c r="E36" s="390">
        <v>8853900</v>
      </c>
      <c r="F36" s="392">
        <f t="shared" si="0"/>
        <v>0.25435999149961042</v>
      </c>
    </row>
    <row r="37" spans="2:6">
      <c r="B37" s="388" t="s">
        <v>479</v>
      </c>
      <c r="C37" s="389" t="s">
        <v>42</v>
      </c>
      <c r="D37" s="390">
        <v>9362123</v>
      </c>
      <c r="E37" s="390">
        <v>8851026</v>
      </c>
      <c r="F37" s="391">
        <f t="shared" si="0"/>
        <v>-5.4591997990199426E-2</v>
      </c>
    </row>
    <row r="38" spans="2:6">
      <c r="B38" s="388" t="s">
        <v>481</v>
      </c>
      <c r="C38" s="389" t="s">
        <v>482</v>
      </c>
      <c r="D38" s="390">
        <v>6600757.629999999</v>
      </c>
      <c r="E38" s="390">
        <v>6797582.6999999993</v>
      </c>
      <c r="F38" s="392">
        <f t="shared" si="0"/>
        <v>2.9818557358543663E-2</v>
      </c>
    </row>
    <row r="39" spans="2:6">
      <c r="B39" s="388" t="s">
        <v>483</v>
      </c>
      <c r="C39" s="389" t="s">
        <v>484</v>
      </c>
      <c r="D39" s="390">
        <v>4911971.45</v>
      </c>
      <c r="E39" s="390">
        <v>6152984.7300000004</v>
      </c>
      <c r="F39" s="392">
        <f t="shared" si="0"/>
        <v>0.25265075186868202</v>
      </c>
    </row>
    <row r="40" spans="2:6">
      <c r="B40" s="388" t="s">
        <v>485</v>
      </c>
      <c r="C40" s="389" t="s">
        <v>486</v>
      </c>
      <c r="D40" s="390">
        <v>7346797.0099999998</v>
      </c>
      <c r="E40" s="390">
        <v>6112726.7299999995</v>
      </c>
      <c r="F40" s="391">
        <f t="shared" si="0"/>
        <v>-0.16797391820139596</v>
      </c>
    </row>
    <row r="41" spans="2:6">
      <c r="B41" s="388" t="s">
        <v>487</v>
      </c>
      <c r="C41" s="389" t="s">
        <v>757</v>
      </c>
      <c r="D41" s="390">
        <v>1427000</v>
      </c>
      <c r="E41" s="390">
        <v>6030000</v>
      </c>
      <c r="F41" s="392" t="s">
        <v>159</v>
      </c>
    </row>
    <row r="42" spans="2:6">
      <c r="B42" s="388" t="s">
        <v>489</v>
      </c>
      <c r="C42" s="389" t="s">
        <v>488</v>
      </c>
      <c r="D42" s="390">
        <v>3212944.5599999996</v>
      </c>
      <c r="E42" s="390">
        <v>5781289.3099999996</v>
      </c>
      <c r="F42" s="392">
        <f t="shared" si="0"/>
        <v>0.79937412614427439</v>
      </c>
    </row>
    <row r="43" spans="2:6">
      <c r="B43" s="388" t="s">
        <v>490</v>
      </c>
      <c r="C43" s="389" t="s">
        <v>394</v>
      </c>
      <c r="D43" s="390">
        <v>4969286</v>
      </c>
      <c r="E43" s="390">
        <v>5490915</v>
      </c>
      <c r="F43" s="392">
        <f t="shared" si="0"/>
        <v>0.10497061348451275</v>
      </c>
    </row>
    <row r="44" spans="2:6">
      <c r="B44" s="388" t="s">
        <v>492</v>
      </c>
      <c r="C44" s="389" t="s">
        <v>505</v>
      </c>
      <c r="D44" s="390">
        <v>4518512</v>
      </c>
      <c r="E44" s="390">
        <v>5423651</v>
      </c>
      <c r="F44" s="392">
        <f t="shared" si="0"/>
        <v>0.20031793652423624</v>
      </c>
    </row>
    <row r="45" spans="2:6">
      <c r="B45" s="388" t="s">
        <v>494</v>
      </c>
      <c r="C45" s="389" t="s">
        <v>495</v>
      </c>
      <c r="D45" s="390">
        <v>4491390.1400000006</v>
      </c>
      <c r="E45" s="390">
        <v>5130545.38</v>
      </c>
      <c r="F45" s="392">
        <f t="shared" si="0"/>
        <v>0.142306773644028</v>
      </c>
    </row>
    <row r="46" spans="2:6">
      <c r="B46" s="388" t="s">
        <v>496</v>
      </c>
      <c r="C46" s="389" t="s">
        <v>493</v>
      </c>
      <c r="D46" s="390">
        <v>2999688.3</v>
      </c>
      <c r="E46" s="390">
        <v>4883918</v>
      </c>
      <c r="F46" s="392">
        <f t="shared" si="0"/>
        <v>0.62814183060286632</v>
      </c>
    </row>
    <row r="47" spans="2:6">
      <c r="B47" s="388" t="s">
        <v>497</v>
      </c>
      <c r="C47" s="389" t="s">
        <v>491</v>
      </c>
      <c r="D47" s="390">
        <v>582000</v>
      </c>
      <c r="E47" s="390">
        <v>4625000</v>
      </c>
      <c r="F47" s="392" t="s">
        <v>159</v>
      </c>
    </row>
    <row r="48" spans="2:6">
      <c r="B48" s="388" t="s">
        <v>499</v>
      </c>
      <c r="C48" s="389" t="s">
        <v>500</v>
      </c>
      <c r="D48" s="390">
        <v>2962790.7399999998</v>
      </c>
      <c r="E48" s="390">
        <v>4590982</v>
      </c>
      <c r="F48" s="392">
        <f t="shared" si="0"/>
        <v>0.54954649277727952</v>
      </c>
    </row>
    <row r="49" spans="2:6">
      <c r="B49" s="388" t="s">
        <v>501</v>
      </c>
      <c r="C49" s="389" t="s">
        <v>395</v>
      </c>
      <c r="D49" s="390">
        <v>4421923</v>
      </c>
      <c r="E49" s="390">
        <v>4518456</v>
      </c>
      <c r="F49" s="392">
        <f t="shared" si="0"/>
        <v>2.1830547479004148E-2</v>
      </c>
    </row>
    <row r="50" spans="2:6">
      <c r="B50" s="388" t="s">
        <v>503</v>
      </c>
      <c r="C50" s="389" t="s">
        <v>498</v>
      </c>
      <c r="D50" s="390">
        <v>4516717</v>
      </c>
      <c r="E50" s="390">
        <v>4355397</v>
      </c>
      <c r="F50" s="391">
        <f t="shared" si="0"/>
        <v>-3.5716207147802215E-2</v>
      </c>
    </row>
    <row r="51" spans="2:6">
      <c r="B51" s="388" t="s">
        <v>504</v>
      </c>
      <c r="C51" s="389" t="s">
        <v>502</v>
      </c>
      <c r="D51" s="390">
        <v>4057723</v>
      </c>
      <c r="E51" s="390">
        <v>4021616</v>
      </c>
      <c r="F51" s="391">
        <f t="shared" si="0"/>
        <v>-8.8983402760611785E-3</v>
      </c>
    </row>
    <row r="52" spans="2:6">
      <c r="B52" s="388" t="s">
        <v>506</v>
      </c>
      <c r="C52" s="389" t="s">
        <v>510</v>
      </c>
      <c r="D52" s="390">
        <v>4150000</v>
      </c>
      <c r="E52" s="390">
        <v>3750160</v>
      </c>
      <c r="F52" s="391">
        <f t="shared" si="0"/>
        <v>-9.6346987951807184E-2</v>
      </c>
    </row>
    <row r="53" spans="2:6">
      <c r="B53" s="388" t="s">
        <v>508</v>
      </c>
      <c r="C53" s="389" t="s">
        <v>53</v>
      </c>
      <c r="D53" s="390">
        <v>2152579</v>
      </c>
      <c r="E53" s="390">
        <v>3703960.87</v>
      </c>
      <c r="F53" s="392">
        <f t="shared" si="0"/>
        <v>0.72070844786648958</v>
      </c>
    </row>
    <row r="54" spans="2:6">
      <c r="B54" s="388" t="s">
        <v>509</v>
      </c>
      <c r="C54" s="389" t="s">
        <v>758</v>
      </c>
      <c r="D54" s="390">
        <v>658858.72</v>
      </c>
      <c r="E54" s="390">
        <v>3490593.05</v>
      </c>
      <c r="F54" s="392" t="s">
        <v>159</v>
      </c>
    </row>
    <row r="55" spans="2:6">
      <c r="B55" s="388" t="s">
        <v>511</v>
      </c>
      <c r="C55" s="389" t="s">
        <v>507</v>
      </c>
      <c r="D55" s="390">
        <v>1216500</v>
      </c>
      <c r="E55" s="390">
        <v>3335564</v>
      </c>
      <c r="F55" s="392">
        <f t="shared" si="0"/>
        <v>1.7419350595972052</v>
      </c>
    </row>
    <row r="56" spans="2:6">
      <c r="B56" s="388" t="s">
        <v>512</v>
      </c>
      <c r="C56" s="389" t="s">
        <v>759</v>
      </c>
      <c r="D56" s="390">
        <v>6302477</v>
      </c>
      <c r="E56" s="390">
        <v>3300500</v>
      </c>
      <c r="F56" s="391" t="s">
        <v>85</v>
      </c>
    </row>
    <row r="57" spans="2:6" ht="15.75" thickBot="1">
      <c r="B57" s="394"/>
      <c r="C57" s="395" t="s">
        <v>513</v>
      </c>
      <c r="D57" s="396">
        <f>D58-SUM(D7:D56)</f>
        <v>151467028.12999964</v>
      </c>
      <c r="E57" s="396">
        <f>E58-SUM(E7:E56)</f>
        <v>103679879.55000067</v>
      </c>
      <c r="F57" s="391">
        <f t="shared" si="0"/>
        <v>-0.31549538648757725</v>
      </c>
    </row>
    <row r="58" spans="2:6" ht="15.75" thickBot="1">
      <c r="B58" s="397"/>
      <c r="C58" s="398" t="s">
        <v>407</v>
      </c>
      <c r="D58" s="399">
        <v>1651111636</v>
      </c>
      <c r="E58" s="400">
        <v>1560579250.6200004</v>
      </c>
      <c r="F58" s="391">
        <f t="shared" si="0"/>
        <v>-5.4831171561072867E-2</v>
      </c>
    </row>
    <row r="59" spans="2:6">
      <c r="B59" s="379"/>
      <c r="C59" s="401"/>
      <c r="D59" s="402">
        <f>+'[1]Inversiones 1'!J22-'[1]Inversiones 2'!D58</f>
        <v>0</v>
      </c>
      <c r="E59" s="402">
        <f>-E58+'[1]Inversiones 1'!J21</f>
        <v>-695182376.26000047</v>
      </c>
      <c r="F59" s="403"/>
    </row>
    <row r="60" spans="2:6">
      <c r="B60" s="365" t="s">
        <v>422</v>
      </c>
      <c r="C60" s="404"/>
      <c r="D60" s="402">
        <f>+D58-'[1]Inversiones 1'!J22</f>
        <v>630189425.04999995</v>
      </c>
      <c r="E60" s="402">
        <f>+E58-'[1]Inversiones 1'!J21</f>
        <v>695182376.26000047</v>
      </c>
      <c r="F60" s="405"/>
    </row>
    <row r="61" spans="2:6">
      <c r="B61" s="370" t="s">
        <v>423</v>
      </c>
      <c r="C61" s="342"/>
      <c r="D61" s="406"/>
      <c r="E61" s="407"/>
      <c r="F61" s="408"/>
    </row>
    <row r="62" spans="2:6">
      <c r="B62" s="370" t="s">
        <v>424</v>
      </c>
      <c r="C62" s="342"/>
      <c r="D62" s="406"/>
      <c r="E62" s="407"/>
      <c r="F62" s="408"/>
    </row>
    <row r="63" spans="2:6">
      <c r="B63" s="370"/>
      <c r="C63" s="342"/>
      <c r="D63" s="342"/>
      <c r="E63" s="409"/>
      <c r="F63" s="342"/>
    </row>
    <row r="64" spans="2:6">
      <c r="B64" s="374" t="s">
        <v>425</v>
      </c>
      <c r="E64" s="410"/>
      <c r="F64" s="342"/>
    </row>
    <row r="65" spans="2:6">
      <c r="B65" s="377"/>
      <c r="E65" s="410"/>
      <c r="F65" s="342"/>
    </row>
    <row r="66" spans="2:6">
      <c r="B66" s="377" t="s">
        <v>753</v>
      </c>
      <c r="E66" s="410"/>
      <c r="F66" s="342"/>
    </row>
    <row r="67" spans="2:6">
      <c r="D67" s="342"/>
      <c r="E67" s="342"/>
    </row>
    <row r="68" spans="2:6">
      <c r="B68" s="377" t="s">
        <v>426</v>
      </c>
      <c r="D68" s="342"/>
      <c r="E68" s="342"/>
      <c r="F68" s="342"/>
    </row>
    <row r="69" spans="2:6">
      <c r="B69" s="379" t="s">
        <v>427</v>
      </c>
      <c r="D69" s="411"/>
      <c r="E69" s="411"/>
      <c r="F69" s="412"/>
    </row>
  </sheetData>
  <mergeCells count="4">
    <mergeCell ref="B2:F2"/>
    <mergeCell ref="B3:F3"/>
    <mergeCell ref="B4:F4"/>
    <mergeCell ref="D5:F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3:DT82"/>
  <sheetViews>
    <sheetView workbookViewId="0">
      <selection activeCell="I30" sqref="I30"/>
    </sheetView>
  </sheetViews>
  <sheetFormatPr baseColWidth="10" defaultRowHeight="15"/>
  <cols>
    <col min="1" max="2" width="11.42578125" style="364" customWidth="1"/>
    <col min="3" max="3" width="21.5703125" style="291" customWidth="1"/>
    <col min="4" max="5" width="14.140625" style="291" bestFit="1" customWidth="1"/>
    <col min="6" max="6" width="11.42578125" style="291"/>
    <col min="7" max="7" width="12.7109375" style="291" bestFit="1" customWidth="1"/>
    <col min="8" max="14" width="11.42578125" style="291"/>
    <col min="15" max="15" width="15.7109375" style="291" bestFit="1" customWidth="1"/>
    <col min="16" max="17" width="11.42578125" style="291"/>
    <col min="18" max="18" width="20.5703125" style="291" bestFit="1" customWidth="1"/>
    <col min="19" max="19" width="50.42578125" style="291" bestFit="1" customWidth="1"/>
    <col min="20" max="20" width="20.7109375" style="291" bestFit="1" customWidth="1"/>
    <col min="21" max="27" width="11.42578125" style="291"/>
    <col min="28" max="28" width="15.7109375" style="291" bestFit="1" customWidth="1"/>
    <col min="29" max="30" width="12.7109375" style="291" bestFit="1" customWidth="1"/>
    <col min="31" max="33" width="11.42578125" style="291"/>
    <col min="34" max="34" width="15.5703125" style="291" customWidth="1"/>
    <col min="35" max="36" width="13" style="364" bestFit="1" customWidth="1"/>
    <col min="37" max="38" width="11.42578125" style="291"/>
    <col min="39" max="41" width="12.7109375" style="291" bestFit="1" customWidth="1"/>
    <col min="42" max="42" width="11.42578125" style="291"/>
    <col min="43" max="43" width="17.5703125" style="291" bestFit="1" customWidth="1"/>
    <col min="44" max="45" width="13" style="291" bestFit="1" customWidth="1"/>
    <col min="46" max="54" width="11.42578125" style="291"/>
    <col min="55" max="55" width="15.7109375" style="291" bestFit="1" customWidth="1"/>
    <col min="56" max="248" width="11.42578125" style="291"/>
    <col min="249" max="250" width="11.42578125" style="291" customWidth="1"/>
    <col min="251" max="251" width="21.5703125" style="291" customWidth="1"/>
    <col min="252" max="253" width="14.140625" style="291" bestFit="1" customWidth="1"/>
    <col min="254" max="254" width="11.42578125" style="291"/>
    <col min="255" max="262" width="12.7109375" style="291" bestFit="1" customWidth="1"/>
    <col min="263" max="270" width="11.42578125" style="291"/>
    <col min="271" max="271" width="15.7109375" style="291" bestFit="1" customWidth="1"/>
    <col min="272" max="273" width="11.42578125" style="291"/>
    <col min="274" max="274" width="20.5703125" style="291" bestFit="1" customWidth="1"/>
    <col min="275" max="275" width="50.42578125" style="291" bestFit="1" customWidth="1"/>
    <col min="276" max="276" width="20.7109375" style="291" bestFit="1" customWidth="1"/>
    <col min="277" max="283" width="11.42578125" style="291"/>
    <col min="284" max="284" width="15.7109375" style="291" bestFit="1" customWidth="1"/>
    <col min="285" max="286" width="12.7109375" style="291" bestFit="1" customWidth="1"/>
    <col min="287" max="289" width="11.42578125" style="291"/>
    <col min="290" max="290" width="15.5703125" style="291" customWidth="1"/>
    <col min="291" max="292" width="13" style="291" bestFit="1" customWidth="1"/>
    <col min="293" max="294" width="11.42578125" style="291"/>
    <col min="295" max="297" width="12.7109375" style="291" bestFit="1" customWidth="1"/>
    <col min="298" max="298" width="11.42578125" style="291"/>
    <col min="299" max="299" width="17.5703125" style="291" bestFit="1" customWidth="1"/>
    <col min="300" max="301" width="13" style="291" bestFit="1" customWidth="1"/>
    <col min="302" max="310" width="11.42578125" style="291"/>
    <col min="311" max="311" width="15.7109375" style="291" bestFit="1" customWidth="1"/>
    <col min="312" max="504" width="11.42578125" style="291"/>
    <col min="505" max="506" width="11.42578125" style="291" customWidth="1"/>
    <col min="507" max="507" width="21.5703125" style="291" customWidth="1"/>
    <col min="508" max="509" width="14.140625" style="291" bestFit="1" customWidth="1"/>
    <col min="510" max="510" width="11.42578125" style="291"/>
    <col min="511" max="518" width="12.7109375" style="291" bestFit="1" customWidth="1"/>
    <col min="519" max="526" width="11.42578125" style="291"/>
    <col min="527" max="527" width="15.7109375" style="291" bestFit="1" customWidth="1"/>
    <col min="528" max="529" width="11.42578125" style="291"/>
    <col min="530" max="530" width="20.5703125" style="291" bestFit="1" customWidth="1"/>
    <col min="531" max="531" width="50.42578125" style="291" bestFit="1" customWidth="1"/>
    <col min="532" max="532" width="20.7109375" style="291" bestFit="1" customWidth="1"/>
    <col min="533" max="539" width="11.42578125" style="291"/>
    <col min="540" max="540" width="15.7109375" style="291" bestFit="1" customWidth="1"/>
    <col min="541" max="542" width="12.7109375" style="291" bestFit="1" customWidth="1"/>
    <col min="543" max="545" width="11.42578125" style="291"/>
    <col min="546" max="546" width="15.5703125" style="291" customWidth="1"/>
    <col min="547" max="548" width="13" style="291" bestFit="1" customWidth="1"/>
    <col min="549" max="550" width="11.42578125" style="291"/>
    <col min="551" max="553" width="12.7109375" style="291" bestFit="1" customWidth="1"/>
    <col min="554" max="554" width="11.42578125" style="291"/>
    <col min="555" max="555" width="17.5703125" style="291" bestFit="1" customWidth="1"/>
    <col min="556" max="557" width="13" style="291" bestFit="1" customWidth="1"/>
    <col min="558" max="566" width="11.42578125" style="291"/>
    <col min="567" max="567" width="15.7109375" style="291" bestFit="1" customWidth="1"/>
    <col min="568" max="760" width="11.42578125" style="291"/>
    <col min="761" max="762" width="11.42578125" style="291" customWidth="1"/>
    <col min="763" max="763" width="21.5703125" style="291" customWidth="1"/>
    <col min="764" max="765" width="14.140625" style="291" bestFit="1" customWidth="1"/>
    <col min="766" max="766" width="11.42578125" style="291"/>
    <col min="767" max="774" width="12.7109375" style="291" bestFit="1" customWidth="1"/>
    <col min="775" max="782" width="11.42578125" style="291"/>
    <col min="783" max="783" width="15.7109375" style="291" bestFit="1" customWidth="1"/>
    <col min="784" max="785" width="11.42578125" style="291"/>
    <col min="786" max="786" width="20.5703125" style="291" bestFit="1" customWidth="1"/>
    <col min="787" max="787" width="50.42578125" style="291" bestFit="1" customWidth="1"/>
    <col min="788" max="788" width="20.7109375" style="291" bestFit="1" customWidth="1"/>
    <col min="789" max="795" width="11.42578125" style="291"/>
    <col min="796" max="796" width="15.7109375" style="291" bestFit="1" customWidth="1"/>
    <col min="797" max="798" width="12.7109375" style="291" bestFit="1" customWidth="1"/>
    <col min="799" max="801" width="11.42578125" style="291"/>
    <col min="802" max="802" width="15.5703125" style="291" customWidth="1"/>
    <col min="803" max="804" width="13" style="291" bestFit="1" customWidth="1"/>
    <col min="805" max="806" width="11.42578125" style="291"/>
    <col min="807" max="809" width="12.7109375" style="291" bestFit="1" customWidth="1"/>
    <col min="810" max="810" width="11.42578125" style="291"/>
    <col min="811" max="811" width="17.5703125" style="291" bestFit="1" customWidth="1"/>
    <col min="812" max="813" width="13" style="291" bestFit="1" customWidth="1"/>
    <col min="814" max="822" width="11.42578125" style="291"/>
    <col min="823" max="823" width="15.7109375" style="291" bestFit="1" customWidth="1"/>
    <col min="824" max="1016" width="11.42578125" style="291"/>
    <col min="1017" max="1018" width="11.42578125" style="291" customWidth="1"/>
    <col min="1019" max="1019" width="21.5703125" style="291" customWidth="1"/>
    <col min="1020" max="1021" width="14.140625" style="291" bestFit="1" customWidth="1"/>
    <col min="1022" max="1022" width="11.42578125" style="291"/>
    <col min="1023" max="1030" width="12.7109375" style="291" bestFit="1" customWidth="1"/>
    <col min="1031" max="1038" width="11.42578125" style="291"/>
    <col min="1039" max="1039" width="15.7109375" style="291" bestFit="1" customWidth="1"/>
    <col min="1040" max="1041" width="11.42578125" style="291"/>
    <col min="1042" max="1042" width="20.5703125" style="291" bestFit="1" customWidth="1"/>
    <col min="1043" max="1043" width="50.42578125" style="291" bestFit="1" customWidth="1"/>
    <col min="1044" max="1044" width="20.7109375" style="291" bestFit="1" customWidth="1"/>
    <col min="1045" max="1051" width="11.42578125" style="291"/>
    <col min="1052" max="1052" width="15.7109375" style="291" bestFit="1" customWidth="1"/>
    <col min="1053" max="1054" width="12.7109375" style="291" bestFit="1" customWidth="1"/>
    <col min="1055" max="1057" width="11.42578125" style="291"/>
    <col min="1058" max="1058" width="15.5703125" style="291" customWidth="1"/>
    <col min="1059" max="1060" width="13" style="291" bestFit="1" customWidth="1"/>
    <col min="1061" max="1062" width="11.42578125" style="291"/>
    <col min="1063" max="1065" width="12.7109375" style="291" bestFit="1" customWidth="1"/>
    <col min="1066" max="1066" width="11.42578125" style="291"/>
    <col min="1067" max="1067" width="17.5703125" style="291" bestFit="1" customWidth="1"/>
    <col min="1068" max="1069" width="13" style="291" bestFit="1" customWidth="1"/>
    <col min="1070" max="1078" width="11.42578125" style="291"/>
    <col min="1079" max="1079" width="15.7109375" style="291" bestFit="1" customWidth="1"/>
    <col min="1080" max="1272" width="11.42578125" style="291"/>
    <col min="1273" max="1274" width="11.42578125" style="291" customWidth="1"/>
    <col min="1275" max="1275" width="21.5703125" style="291" customWidth="1"/>
    <col min="1276" max="1277" width="14.140625" style="291" bestFit="1" customWidth="1"/>
    <col min="1278" max="1278" width="11.42578125" style="291"/>
    <col min="1279" max="1286" width="12.7109375" style="291" bestFit="1" customWidth="1"/>
    <col min="1287" max="1294" width="11.42578125" style="291"/>
    <col min="1295" max="1295" width="15.7109375" style="291" bestFit="1" customWidth="1"/>
    <col min="1296" max="1297" width="11.42578125" style="291"/>
    <col min="1298" max="1298" width="20.5703125" style="291" bestFit="1" customWidth="1"/>
    <col min="1299" max="1299" width="50.42578125" style="291" bestFit="1" customWidth="1"/>
    <col min="1300" max="1300" width="20.7109375" style="291" bestFit="1" customWidth="1"/>
    <col min="1301" max="1307" width="11.42578125" style="291"/>
    <col min="1308" max="1308" width="15.7109375" style="291" bestFit="1" customWidth="1"/>
    <col min="1309" max="1310" width="12.7109375" style="291" bestFit="1" customWidth="1"/>
    <col min="1311" max="1313" width="11.42578125" style="291"/>
    <col min="1314" max="1314" width="15.5703125" style="291" customWidth="1"/>
    <col min="1315" max="1316" width="13" style="291" bestFit="1" customWidth="1"/>
    <col min="1317" max="1318" width="11.42578125" style="291"/>
    <col min="1319" max="1321" width="12.7109375" style="291" bestFit="1" customWidth="1"/>
    <col min="1322" max="1322" width="11.42578125" style="291"/>
    <col min="1323" max="1323" width="17.5703125" style="291" bestFit="1" customWidth="1"/>
    <col min="1324" max="1325" width="13" style="291" bestFit="1" customWidth="1"/>
    <col min="1326" max="1334" width="11.42578125" style="291"/>
    <col min="1335" max="1335" width="15.7109375" style="291" bestFit="1" customWidth="1"/>
    <col min="1336" max="1528" width="11.42578125" style="291"/>
    <col min="1529" max="1530" width="11.42578125" style="291" customWidth="1"/>
    <col min="1531" max="1531" width="21.5703125" style="291" customWidth="1"/>
    <col min="1532" max="1533" width="14.140625" style="291" bestFit="1" customWidth="1"/>
    <col min="1534" max="1534" width="11.42578125" style="291"/>
    <col min="1535" max="1542" width="12.7109375" style="291" bestFit="1" customWidth="1"/>
    <col min="1543" max="1550" width="11.42578125" style="291"/>
    <col min="1551" max="1551" width="15.7109375" style="291" bestFit="1" customWidth="1"/>
    <col min="1552" max="1553" width="11.42578125" style="291"/>
    <col min="1554" max="1554" width="20.5703125" style="291" bestFit="1" customWidth="1"/>
    <col min="1555" max="1555" width="50.42578125" style="291" bestFit="1" customWidth="1"/>
    <col min="1556" max="1556" width="20.7109375" style="291" bestFit="1" customWidth="1"/>
    <col min="1557" max="1563" width="11.42578125" style="291"/>
    <col min="1564" max="1564" width="15.7109375" style="291" bestFit="1" customWidth="1"/>
    <col min="1565" max="1566" width="12.7109375" style="291" bestFit="1" customWidth="1"/>
    <col min="1567" max="1569" width="11.42578125" style="291"/>
    <col min="1570" max="1570" width="15.5703125" style="291" customWidth="1"/>
    <col min="1571" max="1572" width="13" style="291" bestFit="1" customWidth="1"/>
    <col min="1573" max="1574" width="11.42578125" style="291"/>
    <col min="1575" max="1577" width="12.7109375" style="291" bestFit="1" customWidth="1"/>
    <col min="1578" max="1578" width="11.42578125" style="291"/>
    <col min="1579" max="1579" width="17.5703125" style="291" bestFit="1" customWidth="1"/>
    <col min="1580" max="1581" width="13" style="291" bestFit="1" customWidth="1"/>
    <col min="1582" max="1590" width="11.42578125" style="291"/>
    <col min="1591" max="1591" width="15.7109375" style="291" bestFit="1" customWidth="1"/>
    <col min="1592" max="1784" width="11.42578125" style="291"/>
    <col min="1785" max="1786" width="11.42578125" style="291" customWidth="1"/>
    <col min="1787" max="1787" width="21.5703125" style="291" customWidth="1"/>
    <col min="1788" max="1789" width="14.140625" style="291" bestFit="1" customWidth="1"/>
    <col min="1790" max="1790" width="11.42578125" style="291"/>
    <col min="1791" max="1798" width="12.7109375" style="291" bestFit="1" customWidth="1"/>
    <col min="1799" max="1806" width="11.42578125" style="291"/>
    <col min="1807" max="1807" width="15.7109375" style="291" bestFit="1" customWidth="1"/>
    <col min="1808" max="1809" width="11.42578125" style="291"/>
    <col min="1810" max="1810" width="20.5703125" style="291" bestFit="1" customWidth="1"/>
    <col min="1811" max="1811" width="50.42578125" style="291" bestFit="1" customWidth="1"/>
    <col min="1812" max="1812" width="20.7109375" style="291" bestFit="1" customWidth="1"/>
    <col min="1813" max="1819" width="11.42578125" style="291"/>
    <col min="1820" max="1820" width="15.7109375" style="291" bestFit="1" customWidth="1"/>
    <col min="1821" max="1822" width="12.7109375" style="291" bestFit="1" customWidth="1"/>
    <col min="1823" max="1825" width="11.42578125" style="291"/>
    <col min="1826" max="1826" width="15.5703125" style="291" customWidth="1"/>
    <col min="1827" max="1828" width="13" style="291" bestFit="1" customWidth="1"/>
    <col min="1829" max="1830" width="11.42578125" style="291"/>
    <col min="1831" max="1833" width="12.7109375" style="291" bestFit="1" customWidth="1"/>
    <col min="1834" max="1834" width="11.42578125" style="291"/>
    <col min="1835" max="1835" width="17.5703125" style="291" bestFit="1" customWidth="1"/>
    <col min="1836" max="1837" width="13" style="291" bestFit="1" customWidth="1"/>
    <col min="1838" max="1846" width="11.42578125" style="291"/>
    <col min="1847" max="1847" width="15.7109375" style="291" bestFit="1" customWidth="1"/>
    <col min="1848" max="2040" width="11.42578125" style="291"/>
    <col min="2041" max="2042" width="11.42578125" style="291" customWidth="1"/>
    <col min="2043" max="2043" width="21.5703125" style="291" customWidth="1"/>
    <col min="2044" max="2045" width="14.140625" style="291" bestFit="1" customWidth="1"/>
    <col min="2046" max="2046" width="11.42578125" style="291"/>
    <col min="2047" max="2054" width="12.7109375" style="291" bestFit="1" customWidth="1"/>
    <col min="2055" max="2062" width="11.42578125" style="291"/>
    <col min="2063" max="2063" width="15.7109375" style="291" bestFit="1" customWidth="1"/>
    <col min="2064" max="2065" width="11.42578125" style="291"/>
    <col min="2066" max="2066" width="20.5703125" style="291" bestFit="1" customWidth="1"/>
    <col min="2067" max="2067" width="50.42578125" style="291" bestFit="1" customWidth="1"/>
    <col min="2068" max="2068" width="20.7109375" style="291" bestFit="1" customWidth="1"/>
    <col min="2069" max="2075" width="11.42578125" style="291"/>
    <col min="2076" max="2076" width="15.7109375" style="291" bestFit="1" customWidth="1"/>
    <col min="2077" max="2078" width="12.7109375" style="291" bestFit="1" customWidth="1"/>
    <col min="2079" max="2081" width="11.42578125" style="291"/>
    <col min="2082" max="2082" width="15.5703125" style="291" customWidth="1"/>
    <col min="2083" max="2084" width="13" style="291" bestFit="1" customWidth="1"/>
    <col min="2085" max="2086" width="11.42578125" style="291"/>
    <col min="2087" max="2089" width="12.7109375" style="291" bestFit="1" customWidth="1"/>
    <col min="2090" max="2090" width="11.42578125" style="291"/>
    <col min="2091" max="2091" width="17.5703125" style="291" bestFit="1" customWidth="1"/>
    <col min="2092" max="2093" width="13" style="291" bestFit="1" customWidth="1"/>
    <col min="2094" max="2102" width="11.42578125" style="291"/>
    <col min="2103" max="2103" width="15.7109375" style="291" bestFit="1" customWidth="1"/>
    <col min="2104" max="2296" width="11.42578125" style="291"/>
    <col min="2297" max="2298" width="11.42578125" style="291" customWidth="1"/>
    <col min="2299" max="2299" width="21.5703125" style="291" customWidth="1"/>
    <col min="2300" max="2301" width="14.140625" style="291" bestFit="1" customWidth="1"/>
    <col min="2302" max="2302" width="11.42578125" style="291"/>
    <col min="2303" max="2310" width="12.7109375" style="291" bestFit="1" customWidth="1"/>
    <col min="2311" max="2318" width="11.42578125" style="291"/>
    <col min="2319" max="2319" width="15.7109375" style="291" bestFit="1" customWidth="1"/>
    <col min="2320" max="2321" width="11.42578125" style="291"/>
    <col min="2322" max="2322" width="20.5703125" style="291" bestFit="1" customWidth="1"/>
    <col min="2323" max="2323" width="50.42578125" style="291" bestFit="1" customWidth="1"/>
    <col min="2324" max="2324" width="20.7109375" style="291" bestFit="1" customWidth="1"/>
    <col min="2325" max="2331" width="11.42578125" style="291"/>
    <col min="2332" max="2332" width="15.7109375" style="291" bestFit="1" customWidth="1"/>
    <col min="2333" max="2334" width="12.7109375" style="291" bestFit="1" customWidth="1"/>
    <col min="2335" max="2337" width="11.42578125" style="291"/>
    <col min="2338" max="2338" width="15.5703125" style="291" customWidth="1"/>
    <col min="2339" max="2340" width="13" style="291" bestFit="1" customWidth="1"/>
    <col min="2341" max="2342" width="11.42578125" style="291"/>
    <col min="2343" max="2345" width="12.7109375" style="291" bestFit="1" customWidth="1"/>
    <col min="2346" max="2346" width="11.42578125" style="291"/>
    <col min="2347" max="2347" width="17.5703125" style="291" bestFit="1" customWidth="1"/>
    <col min="2348" max="2349" width="13" style="291" bestFit="1" customWidth="1"/>
    <col min="2350" max="2358" width="11.42578125" style="291"/>
    <col min="2359" max="2359" width="15.7109375" style="291" bestFit="1" customWidth="1"/>
    <col min="2360" max="2552" width="11.42578125" style="291"/>
    <col min="2553" max="2554" width="11.42578125" style="291" customWidth="1"/>
    <col min="2555" max="2555" width="21.5703125" style="291" customWidth="1"/>
    <col min="2556" max="2557" width="14.140625" style="291" bestFit="1" customWidth="1"/>
    <col min="2558" max="2558" width="11.42578125" style="291"/>
    <col min="2559" max="2566" width="12.7109375" style="291" bestFit="1" customWidth="1"/>
    <col min="2567" max="2574" width="11.42578125" style="291"/>
    <col min="2575" max="2575" width="15.7109375" style="291" bestFit="1" customWidth="1"/>
    <col min="2576" max="2577" width="11.42578125" style="291"/>
    <col min="2578" max="2578" width="20.5703125" style="291" bestFit="1" customWidth="1"/>
    <col min="2579" max="2579" width="50.42578125" style="291" bestFit="1" customWidth="1"/>
    <col min="2580" max="2580" width="20.7109375" style="291" bestFit="1" customWidth="1"/>
    <col min="2581" max="2587" width="11.42578125" style="291"/>
    <col min="2588" max="2588" width="15.7109375" style="291" bestFit="1" customWidth="1"/>
    <col min="2589" max="2590" width="12.7109375" style="291" bestFit="1" customWidth="1"/>
    <col min="2591" max="2593" width="11.42578125" style="291"/>
    <col min="2594" max="2594" width="15.5703125" style="291" customWidth="1"/>
    <col min="2595" max="2596" width="13" style="291" bestFit="1" customWidth="1"/>
    <col min="2597" max="2598" width="11.42578125" style="291"/>
    <col min="2599" max="2601" width="12.7109375" style="291" bestFit="1" customWidth="1"/>
    <col min="2602" max="2602" width="11.42578125" style="291"/>
    <col min="2603" max="2603" width="17.5703125" style="291" bestFit="1" customWidth="1"/>
    <col min="2604" max="2605" width="13" style="291" bestFit="1" customWidth="1"/>
    <col min="2606" max="2614" width="11.42578125" style="291"/>
    <col min="2615" max="2615" width="15.7109375" style="291" bestFit="1" customWidth="1"/>
    <col min="2616" max="2808" width="11.42578125" style="291"/>
    <col min="2809" max="2810" width="11.42578125" style="291" customWidth="1"/>
    <col min="2811" max="2811" width="21.5703125" style="291" customWidth="1"/>
    <col min="2812" max="2813" width="14.140625" style="291" bestFit="1" customWidth="1"/>
    <col min="2814" max="2814" width="11.42578125" style="291"/>
    <col min="2815" max="2822" width="12.7109375" style="291" bestFit="1" customWidth="1"/>
    <col min="2823" max="2830" width="11.42578125" style="291"/>
    <col min="2831" max="2831" width="15.7109375" style="291" bestFit="1" customWidth="1"/>
    <col min="2832" max="2833" width="11.42578125" style="291"/>
    <col min="2834" max="2834" width="20.5703125" style="291" bestFit="1" customWidth="1"/>
    <col min="2835" max="2835" width="50.42578125" style="291" bestFit="1" customWidth="1"/>
    <col min="2836" max="2836" width="20.7109375" style="291" bestFit="1" customWidth="1"/>
    <col min="2837" max="2843" width="11.42578125" style="291"/>
    <col min="2844" max="2844" width="15.7109375" style="291" bestFit="1" customWidth="1"/>
    <col min="2845" max="2846" width="12.7109375" style="291" bestFit="1" customWidth="1"/>
    <col min="2847" max="2849" width="11.42578125" style="291"/>
    <col min="2850" max="2850" width="15.5703125" style="291" customWidth="1"/>
    <col min="2851" max="2852" width="13" style="291" bestFit="1" customWidth="1"/>
    <col min="2853" max="2854" width="11.42578125" style="291"/>
    <col min="2855" max="2857" width="12.7109375" style="291" bestFit="1" customWidth="1"/>
    <col min="2858" max="2858" width="11.42578125" style="291"/>
    <col min="2859" max="2859" width="17.5703125" style="291" bestFit="1" customWidth="1"/>
    <col min="2860" max="2861" width="13" style="291" bestFit="1" customWidth="1"/>
    <col min="2862" max="2870" width="11.42578125" style="291"/>
    <col min="2871" max="2871" width="15.7109375" style="291" bestFit="1" customWidth="1"/>
    <col min="2872" max="3064" width="11.42578125" style="291"/>
    <col min="3065" max="3066" width="11.42578125" style="291" customWidth="1"/>
    <col min="3067" max="3067" width="21.5703125" style="291" customWidth="1"/>
    <col min="3068" max="3069" width="14.140625" style="291" bestFit="1" customWidth="1"/>
    <col min="3070" max="3070" width="11.42578125" style="291"/>
    <col min="3071" max="3078" width="12.7109375" style="291" bestFit="1" customWidth="1"/>
    <col min="3079" max="3086" width="11.42578125" style="291"/>
    <col min="3087" max="3087" width="15.7109375" style="291" bestFit="1" customWidth="1"/>
    <col min="3088" max="3089" width="11.42578125" style="291"/>
    <col min="3090" max="3090" width="20.5703125" style="291" bestFit="1" customWidth="1"/>
    <col min="3091" max="3091" width="50.42578125" style="291" bestFit="1" customWidth="1"/>
    <col min="3092" max="3092" width="20.7109375" style="291" bestFit="1" customWidth="1"/>
    <col min="3093" max="3099" width="11.42578125" style="291"/>
    <col min="3100" max="3100" width="15.7109375" style="291" bestFit="1" customWidth="1"/>
    <col min="3101" max="3102" width="12.7109375" style="291" bestFit="1" customWidth="1"/>
    <col min="3103" max="3105" width="11.42578125" style="291"/>
    <col min="3106" max="3106" width="15.5703125" style="291" customWidth="1"/>
    <col min="3107" max="3108" width="13" style="291" bestFit="1" customWidth="1"/>
    <col min="3109" max="3110" width="11.42578125" style="291"/>
    <col min="3111" max="3113" width="12.7109375" style="291" bestFit="1" customWidth="1"/>
    <col min="3114" max="3114" width="11.42578125" style="291"/>
    <col min="3115" max="3115" width="17.5703125" style="291" bestFit="1" customWidth="1"/>
    <col min="3116" max="3117" width="13" style="291" bestFit="1" customWidth="1"/>
    <col min="3118" max="3126" width="11.42578125" style="291"/>
    <col min="3127" max="3127" width="15.7109375" style="291" bestFit="1" customWidth="1"/>
    <col min="3128" max="3320" width="11.42578125" style="291"/>
    <col min="3321" max="3322" width="11.42578125" style="291" customWidth="1"/>
    <col min="3323" max="3323" width="21.5703125" style="291" customWidth="1"/>
    <col min="3324" max="3325" width="14.140625" style="291" bestFit="1" customWidth="1"/>
    <col min="3326" max="3326" width="11.42578125" style="291"/>
    <col min="3327" max="3334" width="12.7109375" style="291" bestFit="1" customWidth="1"/>
    <col min="3335" max="3342" width="11.42578125" style="291"/>
    <col min="3343" max="3343" width="15.7109375" style="291" bestFit="1" customWidth="1"/>
    <col min="3344" max="3345" width="11.42578125" style="291"/>
    <col min="3346" max="3346" width="20.5703125" style="291" bestFit="1" customWidth="1"/>
    <col min="3347" max="3347" width="50.42578125" style="291" bestFit="1" customWidth="1"/>
    <col min="3348" max="3348" width="20.7109375" style="291" bestFit="1" customWidth="1"/>
    <col min="3349" max="3355" width="11.42578125" style="291"/>
    <col min="3356" max="3356" width="15.7109375" style="291" bestFit="1" customWidth="1"/>
    <col min="3357" max="3358" width="12.7109375" style="291" bestFit="1" customWidth="1"/>
    <col min="3359" max="3361" width="11.42578125" style="291"/>
    <col min="3362" max="3362" width="15.5703125" style="291" customWidth="1"/>
    <col min="3363" max="3364" width="13" style="291" bestFit="1" customWidth="1"/>
    <col min="3365" max="3366" width="11.42578125" style="291"/>
    <col min="3367" max="3369" width="12.7109375" style="291" bestFit="1" customWidth="1"/>
    <col min="3370" max="3370" width="11.42578125" style="291"/>
    <col min="3371" max="3371" width="17.5703125" style="291" bestFit="1" customWidth="1"/>
    <col min="3372" max="3373" width="13" style="291" bestFit="1" customWidth="1"/>
    <col min="3374" max="3382" width="11.42578125" style="291"/>
    <col min="3383" max="3383" width="15.7109375" style="291" bestFit="1" customWidth="1"/>
    <col min="3384" max="3576" width="11.42578125" style="291"/>
    <col min="3577" max="3578" width="11.42578125" style="291" customWidth="1"/>
    <col min="3579" max="3579" width="21.5703125" style="291" customWidth="1"/>
    <col min="3580" max="3581" width="14.140625" style="291" bestFit="1" customWidth="1"/>
    <col min="3582" max="3582" width="11.42578125" style="291"/>
    <col min="3583" max="3590" width="12.7109375" style="291" bestFit="1" customWidth="1"/>
    <col min="3591" max="3598" width="11.42578125" style="291"/>
    <col min="3599" max="3599" width="15.7109375" style="291" bestFit="1" customWidth="1"/>
    <col min="3600" max="3601" width="11.42578125" style="291"/>
    <col min="3602" max="3602" width="20.5703125" style="291" bestFit="1" customWidth="1"/>
    <col min="3603" max="3603" width="50.42578125" style="291" bestFit="1" customWidth="1"/>
    <col min="3604" max="3604" width="20.7109375" style="291" bestFit="1" customWidth="1"/>
    <col min="3605" max="3611" width="11.42578125" style="291"/>
    <col min="3612" max="3612" width="15.7109375" style="291" bestFit="1" customWidth="1"/>
    <col min="3613" max="3614" width="12.7109375" style="291" bestFit="1" customWidth="1"/>
    <col min="3615" max="3617" width="11.42578125" style="291"/>
    <col min="3618" max="3618" width="15.5703125" style="291" customWidth="1"/>
    <col min="3619" max="3620" width="13" style="291" bestFit="1" customWidth="1"/>
    <col min="3621" max="3622" width="11.42578125" style="291"/>
    <col min="3623" max="3625" width="12.7109375" style="291" bestFit="1" customWidth="1"/>
    <col min="3626" max="3626" width="11.42578125" style="291"/>
    <col min="3627" max="3627" width="17.5703125" style="291" bestFit="1" customWidth="1"/>
    <col min="3628" max="3629" width="13" style="291" bestFit="1" customWidth="1"/>
    <col min="3630" max="3638" width="11.42578125" style="291"/>
    <col min="3639" max="3639" width="15.7109375" style="291" bestFit="1" customWidth="1"/>
    <col min="3640" max="3832" width="11.42578125" style="291"/>
    <col min="3833" max="3834" width="11.42578125" style="291" customWidth="1"/>
    <col min="3835" max="3835" width="21.5703125" style="291" customWidth="1"/>
    <col min="3836" max="3837" width="14.140625" style="291" bestFit="1" customWidth="1"/>
    <col min="3838" max="3838" width="11.42578125" style="291"/>
    <col min="3839" max="3846" width="12.7109375" style="291" bestFit="1" customWidth="1"/>
    <col min="3847" max="3854" width="11.42578125" style="291"/>
    <col min="3855" max="3855" width="15.7109375" style="291" bestFit="1" customWidth="1"/>
    <col min="3856" max="3857" width="11.42578125" style="291"/>
    <col min="3858" max="3858" width="20.5703125" style="291" bestFit="1" customWidth="1"/>
    <col min="3859" max="3859" width="50.42578125" style="291" bestFit="1" customWidth="1"/>
    <col min="3860" max="3860" width="20.7109375" style="291" bestFit="1" customWidth="1"/>
    <col min="3861" max="3867" width="11.42578125" style="291"/>
    <col min="3868" max="3868" width="15.7109375" style="291" bestFit="1" customWidth="1"/>
    <col min="3869" max="3870" width="12.7109375" style="291" bestFit="1" customWidth="1"/>
    <col min="3871" max="3873" width="11.42578125" style="291"/>
    <col min="3874" max="3874" width="15.5703125" style="291" customWidth="1"/>
    <col min="3875" max="3876" width="13" style="291" bestFit="1" customWidth="1"/>
    <col min="3877" max="3878" width="11.42578125" style="291"/>
    <col min="3879" max="3881" width="12.7109375" style="291" bestFit="1" customWidth="1"/>
    <col min="3882" max="3882" width="11.42578125" style="291"/>
    <col min="3883" max="3883" width="17.5703125" style="291" bestFit="1" customWidth="1"/>
    <col min="3884" max="3885" width="13" style="291" bestFit="1" customWidth="1"/>
    <col min="3886" max="3894" width="11.42578125" style="291"/>
    <col min="3895" max="3895" width="15.7109375" style="291" bestFit="1" customWidth="1"/>
    <col min="3896" max="4088" width="11.42578125" style="291"/>
    <col min="4089" max="4090" width="11.42578125" style="291" customWidth="1"/>
    <col min="4091" max="4091" width="21.5703125" style="291" customWidth="1"/>
    <col min="4092" max="4093" width="14.140625" style="291" bestFit="1" customWidth="1"/>
    <col min="4094" max="4094" width="11.42578125" style="291"/>
    <col min="4095" max="4102" width="12.7109375" style="291" bestFit="1" customWidth="1"/>
    <col min="4103" max="4110" width="11.42578125" style="291"/>
    <col min="4111" max="4111" width="15.7109375" style="291" bestFit="1" customWidth="1"/>
    <col min="4112" max="4113" width="11.42578125" style="291"/>
    <col min="4114" max="4114" width="20.5703125" style="291" bestFit="1" customWidth="1"/>
    <col min="4115" max="4115" width="50.42578125" style="291" bestFit="1" customWidth="1"/>
    <col min="4116" max="4116" width="20.7109375" style="291" bestFit="1" customWidth="1"/>
    <col min="4117" max="4123" width="11.42578125" style="291"/>
    <col min="4124" max="4124" width="15.7109375" style="291" bestFit="1" customWidth="1"/>
    <col min="4125" max="4126" width="12.7109375" style="291" bestFit="1" customWidth="1"/>
    <col min="4127" max="4129" width="11.42578125" style="291"/>
    <col min="4130" max="4130" width="15.5703125" style="291" customWidth="1"/>
    <col min="4131" max="4132" width="13" style="291" bestFit="1" customWidth="1"/>
    <col min="4133" max="4134" width="11.42578125" style="291"/>
    <col min="4135" max="4137" width="12.7109375" style="291" bestFit="1" customWidth="1"/>
    <col min="4138" max="4138" width="11.42578125" style="291"/>
    <col min="4139" max="4139" width="17.5703125" style="291" bestFit="1" customWidth="1"/>
    <col min="4140" max="4141" width="13" style="291" bestFit="1" customWidth="1"/>
    <col min="4142" max="4150" width="11.42578125" style="291"/>
    <col min="4151" max="4151" width="15.7109375" style="291" bestFit="1" customWidth="1"/>
    <col min="4152" max="4344" width="11.42578125" style="291"/>
    <col min="4345" max="4346" width="11.42578125" style="291" customWidth="1"/>
    <col min="4347" max="4347" width="21.5703125" style="291" customWidth="1"/>
    <col min="4348" max="4349" width="14.140625" style="291" bestFit="1" customWidth="1"/>
    <col min="4350" max="4350" width="11.42578125" style="291"/>
    <col min="4351" max="4358" width="12.7109375" style="291" bestFit="1" customWidth="1"/>
    <col min="4359" max="4366" width="11.42578125" style="291"/>
    <col min="4367" max="4367" width="15.7109375" style="291" bestFit="1" customWidth="1"/>
    <col min="4368" max="4369" width="11.42578125" style="291"/>
    <col min="4370" max="4370" width="20.5703125" style="291" bestFit="1" customWidth="1"/>
    <col min="4371" max="4371" width="50.42578125" style="291" bestFit="1" customWidth="1"/>
    <col min="4372" max="4372" width="20.7109375" style="291" bestFit="1" customWidth="1"/>
    <col min="4373" max="4379" width="11.42578125" style="291"/>
    <col min="4380" max="4380" width="15.7109375" style="291" bestFit="1" customWidth="1"/>
    <col min="4381" max="4382" width="12.7109375" style="291" bestFit="1" customWidth="1"/>
    <col min="4383" max="4385" width="11.42578125" style="291"/>
    <col min="4386" max="4386" width="15.5703125" style="291" customWidth="1"/>
    <col min="4387" max="4388" width="13" style="291" bestFit="1" customWidth="1"/>
    <col min="4389" max="4390" width="11.42578125" style="291"/>
    <col min="4391" max="4393" width="12.7109375" style="291" bestFit="1" customWidth="1"/>
    <col min="4394" max="4394" width="11.42578125" style="291"/>
    <col min="4395" max="4395" width="17.5703125" style="291" bestFit="1" customWidth="1"/>
    <col min="4396" max="4397" width="13" style="291" bestFit="1" customWidth="1"/>
    <col min="4398" max="4406" width="11.42578125" style="291"/>
    <col min="4407" max="4407" width="15.7109375" style="291" bestFit="1" customWidth="1"/>
    <col min="4408" max="4600" width="11.42578125" style="291"/>
    <col min="4601" max="4602" width="11.42578125" style="291" customWidth="1"/>
    <col min="4603" max="4603" width="21.5703125" style="291" customWidth="1"/>
    <col min="4604" max="4605" width="14.140625" style="291" bestFit="1" customWidth="1"/>
    <col min="4606" max="4606" width="11.42578125" style="291"/>
    <col min="4607" max="4614" width="12.7109375" style="291" bestFit="1" customWidth="1"/>
    <col min="4615" max="4622" width="11.42578125" style="291"/>
    <col min="4623" max="4623" width="15.7109375" style="291" bestFit="1" customWidth="1"/>
    <col min="4624" max="4625" width="11.42578125" style="291"/>
    <col min="4626" max="4626" width="20.5703125" style="291" bestFit="1" customWidth="1"/>
    <col min="4627" max="4627" width="50.42578125" style="291" bestFit="1" customWidth="1"/>
    <col min="4628" max="4628" width="20.7109375" style="291" bestFit="1" customWidth="1"/>
    <col min="4629" max="4635" width="11.42578125" style="291"/>
    <col min="4636" max="4636" width="15.7109375" style="291" bestFit="1" customWidth="1"/>
    <col min="4637" max="4638" width="12.7109375" style="291" bestFit="1" customWidth="1"/>
    <col min="4639" max="4641" width="11.42578125" style="291"/>
    <col min="4642" max="4642" width="15.5703125" style="291" customWidth="1"/>
    <col min="4643" max="4644" width="13" style="291" bestFit="1" customWidth="1"/>
    <col min="4645" max="4646" width="11.42578125" style="291"/>
    <col min="4647" max="4649" width="12.7109375" style="291" bestFit="1" customWidth="1"/>
    <col min="4650" max="4650" width="11.42578125" style="291"/>
    <col min="4651" max="4651" width="17.5703125" style="291" bestFit="1" customWidth="1"/>
    <col min="4652" max="4653" width="13" style="291" bestFit="1" customWidth="1"/>
    <col min="4654" max="4662" width="11.42578125" style="291"/>
    <col min="4663" max="4663" width="15.7109375" style="291" bestFit="1" customWidth="1"/>
    <col min="4664" max="4856" width="11.42578125" style="291"/>
    <col min="4857" max="4858" width="11.42578125" style="291" customWidth="1"/>
    <col min="4859" max="4859" width="21.5703125" style="291" customWidth="1"/>
    <col min="4860" max="4861" width="14.140625" style="291" bestFit="1" customWidth="1"/>
    <col min="4862" max="4862" width="11.42578125" style="291"/>
    <col min="4863" max="4870" width="12.7109375" style="291" bestFit="1" customWidth="1"/>
    <col min="4871" max="4878" width="11.42578125" style="291"/>
    <col min="4879" max="4879" width="15.7109375" style="291" bestFit="1" customWidth="1"/>
    <col min="4880" max="4881" width="11.42578125" style="291"/>
    <col min="4882" max="4882" width="20.5703125" style="291" bestFit="1" customWidth="1"/>
    <col min="4883" max="4883" width="50.42578125" style="291" bestFit="1" customWidth="1"/>
    <col min="4884" max="4884" width="20.7109375" style="291" bestFit="1" customWidth="1"/>
    <col min="4885" max="4891" width="11.42578125" style="291"/>
    <col min="4892" max="4892" width="15.7109375" style="291" bestFit="1" customWidth="1"/>
    <col min="4893" max="4894" width="12.7109375" style="291" bestFit="1" customWidth="1"/>
    <col min="4895" max="4897" width="11.42578125" style="291"/>
    <col min="4898" max="4898" width="15.5703125" style="291" customWidth="1"/>
    <col min="4899" max="4900" width="13" style="291" bestFit="1" customWidth="1"/>
    <col min="4901" max="4902" width="11.42578125" style="291"/>
    <col min="4903" max="4905" width="12.7109375" style="291" bestFit="1" customWidth="1"/>
    <col min="4906" max="4906" width="11.42578125" style="291"/>
    <col min="4907" max="4907" width="17.5703125" style="291" bestFit="1" customWidth="1"/>
    <col min="4908" max="4909" width="13" style="291" bestFit="1" customWidth="1"/>
    <col min="4910" max="4918" width="11.42578125" style="291"/>
    <col min="4919" max="4919" width="15.7109375" style="291" bestFit="1" customWidth="1"/>
    <col min="4920" max="5112" width="11.42578125" style="291"/>
    <col min="5113" max="5114" width="11.42578125" style="291" customWidth="1"/>
    <col min="5115" max="5115" width="21.5703125" style="291" customWidth="1"/>
    <col min="5116" max="5117" width="14.140625" style="291" bestFit="1" customWidth="1"/>
    <col min="5118" max="5118" width="11.42578125" style="291"/>
    <col min="5119" max="5126" width="12.7109375" style="291" bestFit="1" customWidth="1"/>
    <col min="5127" max="5134" width="11.42578125" style="291"/>
    <col min="5135" max="5135" width="15.7109375" style="291" bestFit="1" customWidth="1"/>
    <col min="5136" max="5137" width="11.42578125" style="291"/>
    <col min="5138" max="5138" width="20.5703125" style="291" bestFit="1" customWidth="1"/>
    <col min="5139" max="5139" width="50.42578125" style="291" bestFit="1" customWidth="1"/>
    <col min="5140" max="5140" width="20.7109375" style="291" bestFit="1" customWidth="1"/>
    <col min="5141" max="5147" width="11.42578125" style="291"/>
    <col min="5148" max="5148" width="15.7109375" style="291" bestFit="1" customWidth="1"/>
    <col min="5149" max="5150" width="12.7109375" style="291" bestFit="1" customWidth="1"/>
    <col min="5151" max="5153" width="11.42578125" style="291"/>
    <col min="5154" max="5154" width="15.5703125" style="291" customWidth="1"/>
    <col min="5155" max="5156" width="13" style="291" bestFit="1" customWidth="1"/>
    <col min="5157" max="5158" width="11.42578125" style="291"/>
    <col min="5159" max="5161" width="12.7109375" style="291" bestFit="1" customWidth="1"/>
    <col min="5162" max="5162" width="11.42578125" style="291"/>
    <col min="5163" max="5163" width="17.5703125" style="291" bestFit="1" customWidth="1"/>
    <col min="5164" max="5165" width="13" style="291" bestFit="1" customWidth="1"/>
    <col min="5166" max="5174" width="11.42578125" style="291"/>
    <col min="5175" max="5175" width="15.7109375" style="291" bestFit="1" customWidth="1"/>
    <col min="5176" max="5368" width="11.42578125" style="291"/>
    <col min="5369" max="5370" width="11.42578125" style="291" customWidth="1"/>
    <col min="5371" max="5371" width="21.5703125" style="291" customWidth="1"/>
    <col min="5372" max="5373" width="14.140625" style="291" bestFit="1" customWidth="1"/>
    <col min="5374" max="5374" width="11.42578125" style="291"/>
    <col min="5375" max="5382" width="12.7109375" style="291" bestFit="1" customWidth="1"/>
    <col min="5383" max="5390" width="11.42578125" style="291"/>
    <col min="5391" max="5391" width="15.7109375" style="291" bestFit="1" customWidth="1"/>
    <col min="5392" max="5393" width="11.42578125" style="291"/>
    <col min="5394" max="5394" width="20.5703125" style="291" bestFit="1" customWidth="1"/>
    <col min="5395" max="5395" width="50.42578125" style="291" bestFit="1" customWidth="1"/>
    <col min="5396" max="5396" width="20.7109375" style="291" bestFit="1" customWidth="1"/>
    <col min="5397" max="5403" width="11.42578125" style="291"/>
    <col min="5404" max="5404" width="15.7109375" style="291" bestFit="1" customWidth="1"/>
    <col min="5405" max="5406" width="12.7109375" style="291" bestFit="1" customWidth="1"/>
    <col min="5407" max="5409" width="11.42578125" style="291"/>
    <col min="5410" max="5410" width="15.5703125" style="291" customWidth="1"/>
    <col min="5411" max="5412" width="13" style="291" bestFit="1" customWidth="1"/>
    <col min="5413" max="5414" width="11.42578125" style="291"/>
    <col min="5415" max="5417" width="12.7109375" style="291" bestFit="1" customWidth="1"/>
    <col min="5418" max="5418" width="11.42578125" style="291"/>
    <col min="5419" max="5419" width="17.5703125" style="291" bestFit="1" customWidth="1"/>
    <col min="5420" max="5421" width="13" style="291" bestFit="1" customWidth="1"/>
    <col min="5422" max="5430" width="11.42578125" style="291"/>
    <col min="5431" max="5431" width="15.7109375" style="291" bestFit="1" customWidth="1"/>
    <col min="5432" max="5624" width="11.42578125" style="291"/>
    <col min="5625" max="5626" width="11.42578125" style="291" customWidth="1"/>
    <col min="5627" max="5627" width="21.5703125" style="291" customWidth="1"/>
    <col min="5628" max="5629" width="14.140625" style="291" bestFit="1" customWidth="1"/>
    <col min="5630" max="5630" width="11.42578125" style="291"/>
    <col min="5631" max="5638" width="12.7109375" style="291" bestFit="1" customWidth="1"/>
    <col min="5639" max="5646" width="11.42578125" style="291"/>
    <col min="5647" max="5647" width="15.7109375" style="291" bestFit="1" customWidth="1"/>
    <col min="5648" max="5649" width="11.42578125" style="291"/>
    <col min="5650" max="5650" width="20.5703125" style="291" bestFit="1" customWidth="1"/>
    <col min="5651" max="5651" width="50.42578125" style="291" bestFit="1" customWidth="1"/>
    <col min="5652" max="5652" width="20.7109375" style="291" bestFit="1" customWidth="1"/>
    <col min="5653" max="5659" width="11.42578125" style="291"/>
    <col min="5660" max="5660" width="15.7109375" style="291" bestFit="1" customWidth="1"/>
    <col min="5661" max="5662" width="12.7109375" style="291" bestFit="1" customWidth="1"/>
    <col min="5663" max="5665" width="11.42578125" style="291"/>
    <col min="5666" max="5666" width="15.5703125" style="291" customWidth="1"/>
    <col min="5667" max="5668" width="13" style="291" bestFit="1" customWidth="1"/>
    <col min="5669" max="5670" width="11.42578125" style="291"/>
    <col min="5671" max="5673" width="12.7109375" style="291" bestFit="1" customWidth="1"/>
    <col min="5674" max="5674" width="11.42578125" style="291"/>
    <col min="5675" max="5675" width="17.5703125" style="291" bestFit="1" customWidth="1"/>
    <col min="5676" max="5677" width="13" style="291" bestFit="1" customWidth="1"/>
    <col min="5678" max="5686" width="11.42578125" style="291"/>
    <col min="5687" max="5687" width="15.7109375" style="291" bestFit="1" customWidth="1"/>
    <col min="5688" max="5880" width="11.42578125" style="291"/>
    <col min="5881" max="5882" width="11.42578125" style="291" customWidth="1"/>
    <col min="5883" max="5883" width="21.5703125" style="291" customWidth="1"/>
    <col min="5884" max="5885" width="14.140625" style="291" bestFit="1" customWidth="1"/>
    <col min="5886" max="5886" width="11.42578125" style="291"/>
    <col min="5887" max="5894" width="12.7109375" style="291" bestFit="1" customWidth="1"/>
    <col min="5895" max="5902" width="11.42578125" style="291"/>
    <col min="5903" max="5903" width="15.7109375" style="291" bestFit="1" customWidth="1"/>
    <col min="5904" max="5905" width="11.42578125" style="291"/>
    <col min="5906" max="5906" width="20.5703125" style="291" bestFit="1" customWidth="1"/>
    <col min="5907" max="5907" width="50.42578125" style="291" bestFit="1" customWidth="1"/>
    <col min="5908" max="5908" width="20.7109375" style="291" bestFit="1" customWidth="1"/>
    <col min="5909" max="5915" width="11.42578125" style="291"/>
    <col min="5916" max="5916" width="15.7109375" style="291" bestFit="1" customWidth="1"/>
    <col min="5917" max="5918" width="12.7109375" style="291" bestFit="1" customWidth="1"/>
    <col min="5919" max="5921" width="11.42578125" style="291"/>
    <col min="5922" max="5922" width="15.5703125" style="291" customWidth="1"/>
    <col min="5923" max="5924" width="13" style="291" bestFit="1" customWidth="1"/>
    <col min="5925" max="5926" width="11.42578125" style="291"/>
    <col min="5927" max="5929" width="12.7109375" style="291" bestFit="1" customWidth="1"/>
    <col min="5930" max="5930" width="11.42578125" style="291"/>
    <col min="5931" max="5931" width="17.5703125" style="291" bestFit="1" customWidth="1"/>
    <col min="5932" max="5933" width="13" style="291" bestFit="1" customWidth="1"/>
    <col min="5934" max="5942" width="11.42578125" style="291"/>
    <col min="5943" max="5943" width="15.7109375" style="291" bestFit="1" customWidth="1"/>
    <col min="5944" max="6136" width="11.42578125" style="291"/>
    <col min="6137" max="6138" width="11.42578125" style="291" customWidth="1"/>
    <col min="6139" max="6139" width="21.5703125" style="291" customWidth="1"/>
    <col min="6140" max="6141" width="14.140625" style="291" bestFit="1" customWidth="1"/>
    <col min="6142" max="6142" width="11.42578125" style="291"/>
    <col min="6143" max="6150" width="12.7109375" style="291" bestFit="1" customWidth="1"/>
    <col min="6151" max="6158" width="11.42578125" style="291"/>
    <col min="6159" max="6159" width="15.7109375" style="291" bestFit="1" customWidth="1"/>
    <col min="6160" max="6161" width="11.42578125" style="291"/>
    <col min="6162" max="6162" width="20.5703125" style="291" bestFit="1" customWidth="1"/>
    <col min="6163" max="6163" width="50.42578125" style="291" bestFit="1" customWidth="1"/>
    <col min="6164" max="6164" width="20.7109375" style="291" bestFit="1" customWidth="1"/>
    <col min="6165" max="6171" width="11.42578125" style="291"/>
    <col min="6172" max="6172" width="15.7109375" style="291" bestFit="1" customWidth="1"/>
    <col min="6173" max="6174" width="12.7109375" style="291" bestFit="1" customWidth="1"/>
    <col min="6175" max="6177" width="11.42578125" style="291"/>
    <col min="6178" max="6178" width="15.5703125" style="291" customWidth="1"/>
    <col min="6179" max="6180" width="13" style="291" bestFit="1" customWidth="1"/>
    <col min="6181" max="6182" width="11.42578125" style="291"/>
    <col min="6183" max="6185" width="12.7109375" style="291" bestFit="1" customWidth="1"/>
    <col min="6186" max="6186" width="11.42578125" style="291"/>
    <col min="6187" max="6187" width="17.5703125" style="291" bestFit="1" customWidth="1"/>
    <col min="6188" max="6189" width="13" style="291" bestFit="1" customWidth="1"/>
    <col min="6190" max="6198" width="11.42578125" style="291"/>
    <col min="6199" max="6199" width="15.7109375" style="291" bestFit="1" customWidth="1"/>
    <col min="6200" max="6392" width="11.42578125" style="291"/>
    <col min="6393" max="6394" width="11.42578125" style="291" customWidth="1"/>
    <col min="6395" max="6395" width="21.5703125" style="291" customWidth="1"/>
    <col min="6396" max="6397" width="14.140625" style="291" bestFit="1" customWidth="1"/>
    <col min="6398" max="6398" width="11.42578125" style="291"/>
    <col min="6399" max="6406" width="12.7109375" style="291" bestFit="1" customWidth="1"/>
    <col min="6407" max="6414" width="11.42578125" style="291"/>
    <col min="6415" max="6415" width="15.7109375" style="291" bestFit="1" customWidth="1"/>
    <col min="6416" max="6417" width="11.42578125" style="291"/>
    <col min="6418" max="6418" width="20.5703125" style="291" bestFit="1" customWidth="1"/>
    <col min="6419" max="6419" width="50.42578125" style="291" bestFit="1" customWidth="1"/>
    <col min="6420" max="6420" width="20.7109375" style="291" bestFit="1" customWidth="1"/>
    <col min="6421" max="6427" width="11.42578125" style="291"/>
    <col min="6428" max="6428" width="15.7109375" style="291" bestFit="1" customWidth="1"/>
    <col min="6429" max="6430" width="12.7109375" style="291" bestFit="1" customWidth="1"/>
    <col min="6431" max="6433" width="11.42578125" style="291"/>
    <col min="6434" max="6434" width="15.5703125" style="291" customWidth="1"/>
    <col min="6435" max="6436" width="13" style="291" bestFit="1" customWidth="1"/>
    <col min="6437" max="6438" width="11.42578125" style="291"/>
    <col min="6439" max="6441" width="12.7109375" style="291" bestFit="1" customWidth="1"/>
    <col min="6442" max="6442" width="11.42578125" style="291"/>
    <col min="6443" max="6443" width="17.5703125" style="291" bestFit="1" customWidth="1"/>
    <col min="6444" max="6445" width="13" style="291" bestFit="1" customWidth="1"/>
    <col min="6446" max="6454" width="11.42578125" style="291"/>
    <col min="6455" max="6455" width="15.7109375" style="291" bestFit="1" customWidth="1"/>
    <col min="6456" max="6648" width="11.42578125" style="291"/>
    <col min="6649" max="6650" width="11.42578125" style="291" customWidth="1"/>
    <col min="6651" max="6651" width="21.5703125" style="291" customWidth="1"/>
    <col min="6652" max="6653" width="14.140625" style="291" bestFit="1" customWidth="1"/>
    <col min="6654" max="6654" width="11.42578125" style="291"/>
    <col min="6655" max="6662" width="12.7109375" style="291" bestFit="1" customWidth="1"/>
    <col min="6663" max="6670" width="11.42578125" style="291"/>
    <col min="6671" max="6671" width="15.7109375" style="291" bestFit="1" customWidth="1"/>
    <col min="6672" max="6673" width="11.42578125" style="291"/>
    <col min="6674" max="6674" width="20.5703125" style="291" bestFit="1" customWidth="1"/>
    <col min="6675" max="6675" width="50.42578125" style="291" bestFit="1" customWidth="1"/>
    <col min="6676" max="6676" width="20.7109375" style="291" bestFit="1" customWidth="1"/>
    <col min="6677" max="6683" width="11.42578125" style="291"/>
    <col min="6684" max="6684" width="15.7109375" style="291" bestFit="1" customWidth="1"/>
    <col min="6685" max="6686" width="12.7109375" style="291" bestFit="1" customWidth="1"/>
    <col min="6687" max="6689" width="11.42578125" style="291"/>
    <col min="6690" max="6690" width="15.5703125" style="291" customWidth="1"/>
    <col min="6691" max="6692" width="13" style="291" bestFit="1" customWidth="1"/>
    <col min="6693" max="6694" width="11.42578125" style="291"/>
    <col min="6695" max="6697" width="12.7109375" style="291" bestFit="1" customWidth="1"/>
    <col min="6698" max="6698" width="11.42578125" style="291"/>
    <col min="6699" max="6699" width="17.5703125" style="291" bestFit="1" customWidth="1"/>
    <col min="6700" max="6701" width="13" style="291" bestFit="1" customWidth="1"/>
    <col min="6702" max="6710" width="11.42578125" style="291"/>
    <col min="6711" max="6711" width="15.7109375" style="291" bestFit="1" customWidth="1"/>
    <col min="6712" max="6904" width="11.42578125" style="291"/>
    <col min="6905" max="6906" width="11.42578125" style="291" customWidth="1"/>
    <col min="6907" max="6907" width="21.5703125" style="291" customWidth="1"/>
    <col min="6908" max="6909" width="14.140625" style="291" bestFit="1" customWidth="1"/>
    <col min="6910" max="6910" width="11.42578125" style="291"/>
    <col min="6911" max="6918" width="12.7109375" style="291" bestFit="1" customWidth="1"/>
    <col min="6919" max="6926" width="11.42578125" style="291"/>
    <col min="6927" max="6927" width="15.7109375" style="291" bestFit="1" customWidth="1"/>
    <col min="6928" max="6929" width="11.42578125" style="291"/>
    <col min="6930" max="6930" width="20.5703125" style="291" bestFit="1" customWidth="1"/>
    <col min="6931" max="6931" width="50.42578125" style="291" bestFit="1" customWidth="1"/>
    <col min="6932" max="6932" width="20.7109375" style="291" bestFit="1" customWidth="1"/>
    <col min="6933" max="6939" width="11.42578125" style="291"/>
    <col min="6940" max="6940" width="15.7109375" style="291" bestFit="1" customWidth="1"/>
    <col min="6941" max="6942" width="12.7109375" style="291" bestFit="1" customWidth="1"/>
    <col min="6943" max="6945" width="11.42578125" style="291"/>
    <col min="6946" max="6946" width="15.5703125" style="291" customWidth="1"/>
    <col min="6947" max="6948" width="13" style="291" bestFit="1" customWidth="1"/>
    <col min="6949" max="6950" width="11.42578125" style="291"/>
    <col min="6951" max="6953" width="12.7109375" style="291" bestFit="1" customWidth="1"/>
    <col min="6954" max="6954" width="11.42578125" style="291"/>
    <col min="6955" max="6955" width="17.5703125" style="291" bestFit="1" customWidth="1"/>
    <col min="6956" max="6957" width="13" style="291" bestFit="1" customWidth="1"/>
    <col min="6958" max="6966" width="11.42578125" style="291"/>
    <col min="6967" max="6967" width="15.7109375" style="291" bestFit="1" customWidth="1"/>
    <col min="6968" max="7160" width="11.42578125" style="291"/>
    <col min="7161" max="7162" width="11.42578125" style="291" customWidth="1"/>
    <col min="7163" max="7163" width="21.5703125" style="291" customWidth="1"/>
    <col min="7164" max="7165" width="14.140625" style="291" bestFit="1" customWidth="1"/>
    <col min="7166" max="7166" width="11.42578125" style="291"/>
    <col min="7167" max="7174" width="12.7109375" style="291" bestFit="1" customWidth="1"/>
    <col min="7175" max="7182" width="11.42578125" style="291"/>
    <col min="7183" max="7183" width="15.7109375" style="291" bestFit="1" customWidth="1"/>
    <col min="7184" max="7185" width="11.42578125" style="291"/>
    <col min="7186" max="7186" width="20.5703125" style="291" bestFit="1" customWidth="1"/>
    <col min="7187" max="7187" width="50.42578125" style="291" bestFit="1" customWidth="1"/>
    <col min="7188" max="7188" width="20.7109375" style="291" bestFit="1" customWidth="1"/>
    <col min="7189" max="7195" width="11.42578125" style="291"/>
    <col min="7196" max="7196" width="15.7109375" style="291" bestFit="1" customWidth="1"/>
    <col min="7197" max="7198" width="12.7109375" style="291" bestFit="1" customWidth="1"/>
    <col min="7199" max="7201" width="11.42578125" style="291"/>
    <col min="7202" max="7202" width="15.5703125" style="291" customWidth="1"/>
    <col min="7203" max="7204" width="13" style="291" bestFit="1" customWidth="1"/>
    <col min="7205" max="7206" width="11.42578125" style="291"/>
    <col min="7207" max="7209" width="12.7109375" style="291" bestFit="1" customWidth="1"/>
    <col min="7210" max="7210" width="11.42578125" style="291"/>
    <col min="7211" max="7211" width="17.5703125" style="291" bestFit="1" customWidth="1"/>
    <col min="7212" max="7213" width="13" style="291" bestFit="1" customWidth="1"/>
    <col min="7214" max="7222" width="11.42578125" style="291"/>
    <col min="7223" max="7223" width="15.7109375" style="291" bestFit="1" customWidth="1"/>
    <col min="7224" max="7416" width="11.42578125" style="291"/>
    <col min="7417" max="7418" width="11.42578125" style="291" customWidth="1"/>
    <col min="7419" max="7419" width="21.5703125" style="291" customWidth="1"/>
    <col min="7420" max="7421" width="14.140625" style="291" bestFit="1" customWidth="1"/>
    <col min="7422" max="7422" width="11.42578125" style="291"/>
    <col min="7423" max="7430" width="12.7109375" style="291" bestFit="1" customWidth="1"/>
    <col min="7431" max="7438" width="11.42578125" style="291"/>
    <col min="7439" max="7439" width="15.7109375" style="291" bestFit="1" customWidth="1"/>
    <col min="7440" max="7441" width="11.42578125" style="291"/>
    <col min="7442" max="7442" width="20.5703125" style="291" bestFit="1" customWidth="1"/>
    <col min="7443" max="7443" width="50.42578125" style="291" bestFit="1" customWidth="1"/>
    <col min="7444" max="7444" width="20.7109375" style="291" bestFit="1" customWidth="1"/>
    <col min="7445" max="7451" width="11.42578125" style="291"/>
    <col min="7452" max="7452" width="15.7109375" style="291" bestFit="1" customWidth="1"/>
    <col min="7453" max="7454" width="12.7109375" style="291" bestFit="1" customWidth="1"/>
    <col min="7455" max="7457" width="11.42578125" style="291"/>
    <col min="7458" max="7458" width="15.5703125" style="291" customWidth="1"/>
    <col min="7459" max="7460" width="13" style="291" bestFit="1" customWidth="1"/>
    <col min="7461" max="7462" width="11.42578125" style="291"/>
    <col min="7463" max="7465" width="12.7109375" style="291" bestFit="1" customWidth="1"/>
    <col min="7466" max="7466" width="11.42578125" style="291"/>
    <col min="7467" max="7467" width="17.5703125" style="291" bestFit="1" customWidth="1"/>
    <col min="7468" max="7469" width="13" style="291" bestFit="1" customWidth="1"/>
    <col min="7470" max="7478" width="11.42578125" style="291"/>
    <col min="7479" max="7479" width="15.7109375" style="291" bestFit="1" customWidth="1"/>
    <col min="7480" max="7672" width="11.42578125" style="291"/>
    <col min="7673" max="7674" width="11.42578125" style="291" customWidth="1"/>
    <col min="7675" max="7675" width="21.5703125" style="291" customWidth="1"/>
    <col min="7676" max="7677" width="14.140625" style="291" bestFit="1" customWidth="1"/>
    <col min="7678" max="7678" width="11.42578125" style="291"/>
    <col min="7679" max="7686" width="12.7109375" style="291" bestFit="1" customWidth="1"/>
    <col min="7687" max="7694" width="11.42578125" style="291"/>
    <col min="7695" max="7695" width="15.7109375" style="291" bestFit="1" customWidth="1"/>
    <col min="7696" max="7697" width="11.42578125" style="291"/>
    <col min="7698" max="7698" width="20.5703125" style="291" bestFit="1" customWidth="1"/>
    <col min="7699" max="7699" width="50.42578125" style="291" bestFit="1" customWidth="1"/>
    <col min="7700" max="7700" width="20.7109375" style="291" bestFit="1" customWidth="1"/>
    <col min="7701" max="7707" width="11.42578125" style="291"/>
    <col min="7708" max="7708" width="15.7109375" style="291" bestFit="1" customWidth="1"/>
    <col min="7709" max="7710" width="12.7109375" style="291" bestFit="1" customWidth="1"/>
    <col min="7711" max="7713" width="11.42578125" style="291"/>
    <col min="7714" max="7714" width="15.5703125" style="291" customWidth="1"/>
    <col min="7715" max="7716" width="13" style="291" bestFit="1" customWidth="1"/>
    <col min="7717" max="7718" width="11.42578125" style="291"/>
    <col min="7719" max="7721" width="12.7109375" style="291" bestFit="1" customWidth="1"/>
    <col min="7722" max="7722" width="11.42578125" style="291"/>
    <col min="7723" max="7723" width="17.5703125" style="291" bestFit="1" customWidth="1"/>
    <col min="7724" max="7725" width="13" style="291" bestFit="1" customWidth="1"/>
    <col min="7726" max="7734" width="11.42578125" style="291"/>
    <col min="7735" max="7735" width="15.7109375" style="291" bestFit="1" customWidth="1"/>
    <col min="7736" max="7928" width="11.42578125" style="291"/>
    <col min="7929" max="7930" width="11.42578125" style="291" customWidth="1"/>
    <col min="7931" max="7931" width="21.5703125" style="291" customWidth="1"/>
    <col min="7932" max="7933" width="14.140625" style="291" bestFit="1" customWidth="1"/>
    <col min="7934" max="7934" width="11.42578125" style="291"/>
    <col min="7935" max="7942" width="12.7109375" style="291" bestFit="1" customWidth="1"/>
    <col min="7943" max="7950" width="11.42578125" style="291"/>
    <col min="7951" max="7951" width="15.7109375" style="291" bestFit="1" customWidth="1"/>
    <col min="7952" max="7953" width="11.42578125" style="291"/>
    <col min="7954" max="7954" width="20.5703125" style="291" bestFit="1" customWidth="1"/>
    <col min="7955" max="7955" width="50.42578125" style="291" bestFit="1" customWidth="1"/>
    <col min="7956" max="7956" width="20.7109375" style="291" bestFit="1" customWidth="1"/>
    <col min="7957" max="7963" width="11.42578125" style="291"/>
    <col min="7964" max="7964" width="15.7109375" style="291" bestFit="1" customWidth="1"/>
    <col min="7965" max="7966" width="12.7109375" style="291" bestFit="1" customWidth="1"/>
    <col min="7967" max="7969" width="11.42578125" style="291"/>
    <col min="7970" max="7970" width="15.5703125" style="291" customWidth="1"/>
    <col min="7971" max="7972" width="13" style="291" bestFit="1" customWidth="1"/>
    <col min="7973" max="7974" width="11.42578125" style="291"/>
    <col min="7975" max="7977" width="12.7109375" style="291" bestFit="1" customWidth="1"/>
    <col min="7978" max="7978" width="11.42578125" style="291"/>
    <col min="7979" max="7979" width="17.5703125" style="291" bestFit="1" customWidth="1"/>
    <col min="7980" max="7981" width="13" style="291" bestFit="1" customWidth="1"/>
    <col min="7982" max="7990" width="11.42578125" style="291"/>
    <col min="7991" max="7991" width="15.7109375" style="291" bestFit="1" customWidth="1"/>
    <col min="7992" max="8184" width="11.42578125" style="291"/>
    <col min="8185" max="8186" width="11.42578125" style="291" customWidth="1"/>
    <col min="8187" max="8187" width="21.5703125" style="291" customWidth="1"/>
    <col min="8188" max="8189" width="14.140625" style="291" bestFit="1" customWidth="1"/>
    <col min="8190" max="8190" width="11.42578125" style="291"/>
    <col min="8191" max="8198" width="12.7109375" style="291" bestFit="1" customWidth="1"/>
    <col min="8199" max="8206" width="11.42578125" style="291"/>
    <col min="8207" max="8207" width="15.7109375" style="291" bestFit="1" customWidth="1"/>
    <col min="8208" max="8209" width="11.42578125" style="291"/>
    <col min="8210" max="8210" width="20.5703125" style="291" bestFit="1" customWidth="1"/>
    <col min="8211" max="8211" width="50.42578125" style="291" bestFit="1" customWidth="1"/>
    <col min="8212" max="8212" width="20.7109375" style="291" bestFit="1" customWidth="1"/>
    <col min="8213" max="8219" width="11.42578125" style="291"/>
    <col min="8220" max="8220" width="15.7109375" style="291" bestFit="1" customWidth="1"/>
    <col min="8221" max="8222" width="12.7109375" style="291" bestFit="1" customWidth="1"/>
    <col min="8223" max="8225" width="11.42578125" style="291"/>
    <col min="8226" max="8226" width="15.5703125" style="291" customWidth="1"/>
    <col min="8227" max="8228" width="13" style="291" bestFit="1" customWidth="1"/>
    <col min="8229" max="8230" width="11.42578125" style="291"/>
    <col min="8231" max="8233" width="12.7109375" style="291" bestFit="1" customWidth="1"/>
    <col min="8234" max="8234" width="11.42578125" style="291"/>
    <col min="8235" max="8235" width="17.5703125" style="291" bestFit="1" customWidth="1"/>
    <col min="8236" max="8237" width="13" style="291" bestFit="1" customWidth="1"/>
    <col min="8238" max="8246" width="11.42578125" style="291"/>
    <col min="8247" max="8247" width="15.7109375" style="291" bestFit="1" customWidth="1"/>
    <col min="8248" max="8440" width="11.42578125" style="291"/>
    <col min="8441" max="8442" width="11.42578125" style="291" customWidth="1"/>
    <col min="8443" max="8443" width="21.5703125" style="291" customWidth="1"/>
    <col min="8444" max="8445" width="14.140625" style="291" bestFit="1" customWidth="1"/>
    <col min="8446" max="8446" width="11.42578125" style="291"/>
    <col min="8447" max="8454" width="12.7109375" style="291" bestFit="1" customWidth="1"/>
    <col min="8455" max="8462" width="11.42578125" style="291"/>
    <col min="8463" max="8463" width="15.7109375" style="291" bestFit="1" customWidth="1"/>
    <col min="8464" max="8465" width="11.42578125" style="291"/>
    <col min="8466" max="8466" width="20.5703125" style="291" bestFit="1" customWidth="1"/>
    <col min="8467" max="8467" width="50.42578125" style="291" bestFit="1" customWidth="1"/>
    <col min="8468" max="8468" width="20.7109375" style="291" bestFit="1" customWidth="1"/>
    <col min="8469" max="8475" width="11.42578125" style="291"/>
    <col min="8476" max="8476" width="15.7109375" style="291" bestFit="1" customWidth="1"/>
    <col min="8477" max="8478" width="12.7109375" style="291" bestFit="1" customWidth="1"/>
    <col min="8479" max="8481" width="11.42578125" style="291"/>
    <col min="8482" max="8482" width="15.5703125" style="291" customWidth="1"/>
    <col min="8483" max="8484" width="13" style="291" bestFit="1" customWidth="1"/>
    <col min="8485" max="8486" width="11.42578125" style="291"/>
    <col min="8487" max="8489" width="12.7109375" style="291" bestFit="1" customWidth="1"/>
    <col min="8490" max="8490" width="11.42578125" style="291"/>
    <col min="8491" max="8491" width="17.5703125" style="291" bestFit="1" customWidth="1"/>
    <col min="8492" max="8493" width="13" style="291" bestFit="1" customWidth="1"/>
    <col min="8494" max="8502" width="11.42578125" style="291"/>
    <col min="8503" max="8503" width="15.7109375" style="291" bestFit="1" customWidth="1"/>
    <col min="8504" max="8696" width="11.42578125" style="291"/>
    <col min="8697" max="8698" width="11.42578125" style="291" customWidth="1"/>
    <col min="8699" max="8699" width="21.5703125" style="291" customWidth="1"/>
    <col min="8700" max="8701" width="14.140625" style="291" bestFit="1" customWidth="1"/>
    <col min="8702" max="8702" width="11.42578125" style="291"/>
    <col min="8703" max="8710" width="12.7109375" style="291" bestFit="1" customWidth="1"/>
    <col min="8711" max="8718" width="11.42578125" style="291"/>
    <col min="8719" max="8719" width="15.7109375" style="291" bestFit="1" customWidth="1"/>
    <col min="8720" max="8721" width="11.42578125" style="291"/>
    <col min="8722" max="8722" width="20.5703125" style="291" bestFit="1" customWidth="1"/>
    <col min="8723" max="8723" width="50.42578125" style="291" bestFit="1" customWidth="1"/>
    <col min="8724" max="8724" width="20.7109375" style="291" bestFit="1" customWidth="1"/>
    <col min="8725" max="8731" width="11.42578125" style="291"/>
    <col min="8732" max="8732" width="15.7109375" style="291" bestFit="1" customWidth="1"/>
    <col min="8733" max="8734" width="12.7109375" style="291" bestFit="1" customWidth="1"/>
    <col min="8735" max="8737" width="11.42578125" style="291"/>
    <col min="8738" max="8738" width="15.5703125" style="291" customWidth="1"/>
    <col min="8739" max="8740" width="13" style="291" bestFit="1" customWidth="1"/>
    <col min="8741" max="8742" width="11.42578125" style="291"/>
    <col min="8743" max="8745" width="12.7109375" style="291" bestFit="1" customWidth="1"/>
    <col min="8746" max="8746" width="11.42578125" style="291"/>
    <col min="8747" max="8747" width="17.5703125" style="291" bestFit="1" customWidth="1"/>
    <col min="8748" max="8749" width="13" style="291" bestFit="1" customWidth="1"/>
    <col min="8750" max="8758" width="11.42578125" style="291"/>
    <col min="8759" max="8759" width="15.7109375" style="291" bestFit="1" customWidth="1"/>
    <col min="8760" max="8952" width="11.42578125" style="291"/>
    <col min="8953" max="8954" width="11.42578125" style="291" customWidth="1"/>
    <col min="8955" max="8955" width="21.5703125" style="291" customWidth="1"/>
    <col min="8956" max="8957" width="14.140625" style="291" bestFit="1" customWidth="1"/>
    <col min="8958" max="8958" width="11.42578125" style="291"/>
    <col min="8959" max="8966" width="12.7109375" style="291" bestFit="1" customWidth="1"/>
    <col min="8967" max="8974" width="11.42578125" style="291"/>
    <col min="8975" max="8975" width="15.7109375" style="291" bestFit="1" customWidth="1"/>
    <col min="8976" max="8977" width="11.42578125" style="291"/>
    <col min="8978" max="8978" width="20.5703125" style="291" bestFit="1" customWidth="1"/>
    <col min="8979" max="8979" width="50.42578125" style="291" bestFit="1" customWidth="1"/>
    <col min="8980" max="8980" width="20.7109375" style="291" bestFit="1" customWidth="1"/>
    <col min="8981" max="8987" width="11.42578125" style="291"/>
    <col min="8988" max="8988" width="15.7109375" style="291" bestFit="1" customWidth="1"/>
    <col min="8989" max="8990" width="12.7109375" style="291" bestFit="1" customWidth="1"/>
    <col min="8991" max="8993" width="11.42578125" style="291"/>
    <col min="8994" max="8994" width="15.5703125" style="291" customWidth="1"/>
    <col min="8995" max="8996" width="13" style="291" bestFit="1" customWidth="1"/>
    <col min="8997" max="8998" width="11.42578125" style="291"/>
    <col min="8999" max="9001" width="12.7109375" style="291" bestFit="1" customWidth="1"/>
    <col min="9002" max="9002" width="11.42578125" style="291"/>
    <col min="9003" max="9003" width="17.5703125" style="291" bestFit="1" customWidth="1"/>
    <col min="9004" max="9005" width="13" style="291" bestFit="1" customWidth="1"/>
    <col min="9006" max="9014" width="11.42578125" style="291"/>
    <col min="9015" max="9015" width="15.7109375" style="291" bestFit="1" customWidth="1"/>
    <col min="9016" max="9208" width="11.42578125" style="291"/>
    <col min="9209" max="9210" width="11.42578125" style="291" customWidth="1"/>
    <col min="9211" max="9211" width="21.5703125" style="291" customWidth="1"/>
    <col min="9212" max="9213" width="14.140625" style="291" bestFit="1" customWidth="1"/>
    <col min="9214" max="9214" width="11.42578125" style="291"/>
    <col min="9215" max="9222" width="12.7109375" style="291" bestFit="1" customWidth="1"/>
    <col min="9223" max="9230" width="11.42578125" style="291"/>
    <col min="9231" max="9231" width="15.7109375" style="291" bestFit="1" customWidth="1"/>
    <col min="9232" max="9233" width="11.42578125" style="291"/>
    <col min="9234" max="9234" width="20.5703125" style="291" bestFit="1" customWidth="1"/>
    <col min="9235" max="9235" width="50.42578125" style="291" bestFit="1" customWidth="1"/>
    <col min="9236" max="9236" width="20.7109375" style="291" bestFit="1" customWidth="1"/>
    <col min="9237" max="9243" width="11.42578125" style="291"/>
    <col min="9244" max="9244" width="15.7109375" style="291" bestFit="1" customWidth="1"/>
    <col min="9245" max="9246" width="12.7109375" style="291" bestFit="1" customWidth="1"/>
    <col min="9247" max="9249" width="11.42578125" style="291"/>
    <col min="9250" max="9250" width="15.5703125" style="291" customWidth="1"/>
    <col min="9251" max="9252" width="13" style="291" bestFit="1" customWidth="1"/>
    <col min="9253" max="9254" width="11.42578125" style="291"/>
    <col min="9255" max="9257" width="12.7109375" style="291" bestFit="1" customWidth="1"/>
    <col min="9258" max="9258" width="11.42578125" style="291"/>
    <col min="9259" max="9259" width="17.5703125" style="291" bestFit="1" customWidth="1"/>
    <col min="9260" max="9261" width="13" style="291" bestFit="1" customWidth="1"/>
    <col min="9262" max="9270" width="11.42578125" style="291"/>
    <col min="9271" max="9271" width="15.7109375" style="291" bestFit="1" customWidth="1"/>
    <col min="9272" max="9464" width="11.42578125" style="291"/>
    <col min="9465" max="9466" width="11.42578125" style="291" customWidth="1"/>
    <col min="9467" max="9467" width="21.5703125" style="291" customWidth="1"/>
    <col min="9468" max="9469" width="14.140625" style="291" bestFit="1" customWidth="1"/>
    <col min="9470" max="9470" width="11.42578125" style="291"/>
    <col min="9471" max="9478" width="12.7109375" style="291" bestFit="1" customWidth="1"/>
    <col min="9479" max="9486" width="11.42578125" style="291"/>
    <col min="9487" max="9487" width="15.7109375" style="291" bestFit="1" customWidth="1"/>
    <col min="9488" max="9489" width="11.42578125" style="291"/>
    <col min="9490" max="9490" width="20.5703125" style="291" bestFit="1" customWidth="1"/>
    <col min="9491" max="9491" width="50.42578125" style="291" bestFit="1" customWidth="1"/>
    <col min="9492" max="9492" width="20.7109375" style="291" bestFit="1" customWidth="1"/>
    <col min="9493" max="9499" width="11.42578125" style="291"/>
    <col min="9500" max="9500" width="15.7109375" style="291" bestFit="1" customWidth="1"/>
    <col min="9501" max="9502" width="12.7109375" style="291" bestFit="1" customWidth="1"/>
    <col min="9503" max="9505" width="11.42578125" style="291"/>
    <col min="9506" max="9506" width="15.5703125" style="291" customWidth="1"/>
    <col min="9507" max="9508" width="13" style="291" bestFit="1" customWidth="1"/>
    <col min="9509" max="9510" width="11.42578125" style="291"/>
    <col min="9511" max="9513" width="12.7109375" style="291" bestFit="1" customWidth="1"/>
    <col min="9514" max="9514" width="11.42578125" style="291"/>
    <col min="9515" max="9515" width="17.5703125" style="291" bestFit="1" customWidth="1"/>
    <col min="9516" max="9517" width="13" style="291" bestFit="1" customWidth="1"/>
    <col min="9518" max="9526" width="11.42578125" style="291"/>
    <col min="9527" max="9527" width="15.7109375" style="291" bestFit="1" customWidth="1"/>
    <col min="9528" max="9720" width="11.42578125" style="291"/>
    <col min="9721" max="9722" width="11.42578125" style="291" customWidth="1"/>
    <col min="9723" max="9723" width="21.5703125" style="291" customWidth="1"/>
    <col min="9724" max="9725" width="14.140625" style="291" bestFit="1" customWidth="1"/>
    <col min="9726" max="9726" width="11.42578125" style="291"/>
    <col min="9727" max="9734" width="12.7109375" style="291" bestFit="1" customWidth="1"/>
    <col min="9735" max="9742" width="11.42578125" style="291"/>
    <col min="9743" max="9743" width="15.7109375" style="291" bestFit="1" customWidth="1"/>
    <col min="9744" max="9745" width="11.42578125" style="291"/>
    <col min="9746" max="9746" width="20.5703125" style="291" bestFit="1" customWidth="1"/>
    <col min="9747" max="9747" width="50.42578125" style="291" bestFit="1" customWidth="1"/>
    <col min="9748" max="9748" width="20.7109375" style="291" bestFit="1" customWidth="1"/>
    <col min="9749" max="9755" width="11.42578125" style="291"/>
    <col min="9756" max="9756" width="15.7109375" style="291" bestFit="1" customWidth="1"/>
    <col min="9757" max="9758" width="12.7109375" style="291" bestFit="1" customWidth="1"/>
    <col min="9759" max="9761" width="11.42578125" style="291"/>
    <col min="9762" max="9762" width="15.5703125" style="291" customWidth="1"/>
    <col min="9763" max="9764" width="13" style="291" bestFit="1" customWidth="1"/>
    <col min="9765" max="9766" width="11.42578125" style="291"/>
    <col min="9767" max="9769" width="12.7109375" style="291" bestFit="1" customWidth="1"/>
    <col min="9770" max="9770" width="11.42578125" style="291"/>
    <col min="9771" max="9771" width="17.5703125" style="291" bestFit="1" customWidth="1"/>
    <col min="9772" max="9773" width="13" style="291" bestFit="1" customWidth="1"/>
    <col min="9774" max="9782" width="11.42578125" style="291"/>
    <col min="9783" max="9783" width="15.7109375" style="291" bestFit="1" customWidth="1"/>
    <col min="9784" max="9976" width="11.42578125" style="291"/>
    <col min="9977" max="9978" width="11.42578125" style="291" customWidth="1"/>
    <col min="9979" max="9979" width="21.5703125" style="291" customWidth="1"/>
    <col min="9980" max="9981" width="14.140625" style="291" bestFit="1" customWidth="1"/>
    <col min="9982" max="9982" width="11.42578125" style="291"/>
    <col min="9983" max="9990" width="12.7109375" style="291" bestFit="1" customWidth="1"/>
    <col min="9991" max="9998" width="11.42578125" style="291"/>
    <col min="9999" max="9999" width="15.7109375" style="291" bestFit="1" customWidth="1"/>
    <col min="10000" max="10001" width="11.42578125" style="291"/>
    <col min="10002" max="10002" width="20.5703125" style="291" bestFit="1" customWidth="1"/>
    <col min="10003" max="10003" width="50.42578125" style="291" bestFit="1" customWidth="1"/>
    <col min="10004" max="10004" width="20.7109375" style="291" bestFit="1" customWidth="1"/>
    <col min="10005" max="10011" width="11.42578125" style="291"/>
    <col min="10012" max="10012" width="15.7109375" style="291" bestFit="1" customWidth="1"/>
    <col min="10013" max="10014" width="12.7109375" style="291" bestFit="1" customWidth="1"/>
    <col min="10015" max="10017" width="11.42578125" style="291"/>
    <col min="10018" max="10018" width="15.5703125" style="291" customWidth="1"/>
    <col min="10019" max="10020" width="13" style="291" bestFit="1" customWidth="1"/>
    <col min="10021" max="10022" width="11.42578125" style="291"/>
    <col min="10023" max="10025" width="12.7109375" style="291" bestFit="1" customWidth="1"/>
    <col min="10026" max="10026" width="11.42578125" style="291"/>
    <col min="10027" max="10027" width="17.5703125" style="291" bestFit="1" customWidth="1"/>
    <col min="10028" max="10029" width="13" style="291" bestFit="1" customWidth="1"/>
    <col min="10030" max="10038" width="11.42578125" style="291"/>
    <col min="10039" max="10039" width="15.7109375" style="291" bestFit="1" customWidth="1"/>
    <col min="10040" max="10232" width="11.42578125" style="291"/>
    <col min="10233" max="10234" width="11.42578125" style="291" customWidth="1"/>
    <col min="10235" max="10235" width="21.5703125" style="291" customWidth="1"/>
    <col min="10236" max="10237" width="14.140625" style="291" bestFit="1" customWidth="1"/>
    <col min="10238" max="10238" width="11.42578125" style="291"/>
    <col min="10239" max="10246" width="12.7109375" style="291" bestFit="1" customWidth="1"/>
    <col min="10247" max="10254" width="11.42578125" style="291"/>
    <col min="10255" max="10255" width="15.7109375" style="291" bestFit="1" customWidth="1"/>
    <col min="10256" max="10257" width="11.42578125" style="291"/>
    <col min="10258" max="10258" width="20.5703125" style="291" bestFit="1" customWidth="1"/>
    <col min="10259" max="10259" width="50.42578125" style="291" bestFit="1" customWidth="1"/>
    <col min="10260" max="10260" width="20.7109375" style="291" bestFit="1" customWidth="1"/>
    <col min="10261" max="10267" width="11.42578125" style="291"/>
    <col min="10268" max="10268" width="15.7109375" style="291" bestFit="1" customWidth="1"/>
    <col min="10269" max="10270" width="12.7109375" style="291" bestFit="1" customWidth="1"/>
    <col min="10271" max="10273" width="11.42578125" style="291"/>
    <col min="10274" max="10274" width="15.5703125" style="291" customWidth="1"/>
    <col min="10275" max="10276" width="13" style="291" bestFit="1" customWidth="1"/>
    <col min="10277" max="10278" width="11.42578125" style="291"/>
    <col min="10279" max="10281" width="12.7109375" style="291" bestFit="1" customWidth="1"/>
    <col min="10282" max="10282" width="11.42578125" style="291"/>
    <col min="10283" max="10283" width="17.5703125" style="291" bestFit="1" customWidth="1"/>
    <col min="10284" max="10285" width="13" style="291" bestFit="1" customWidth="1"/>
    <col min="10286" max="10294" width="11.42578125" style="291"/>
    <col min="10295" max="10295" width="15.7109375" style="291" bestFit="1" customWidth="1"/>
    <col min="10296" max="10488" width="11.42578125" style="291"/>
    <col min="10489" max="10490" width="11.42578125" style="291" customWidth="1"/>
    <col min="10491" max="10491" width="21.5703125" style="291" customWidth="1"/>
    <col min="10492" max="10493" width="14.140625" style="291" bestFit="1" customWidth="1"/>
    <col min="10494" max="10494" width="11.42578125" style="291"/>
    <col min="10495" max="10502" width="12.7109375" style="291" bestFit="1" customWidth="1"/>
    <col min="10503" max="10510" width="11.42578125" style="291"/>
    <col min="10511" max="10511" width="15.7109375" style="291" bestFit="1" customWidth="1"/>
    <col min="10512" max="10513" width="11.42578125" style="291"/>
    <col min="10514" max="10514" width="20.5703125" style="291" bestFit="1" customWidth="1"/>
    <col min="10515" max="10515" width="50.42578125" style="291" bestFit="1" customWidth="1"/>
    <col min="10516" max="10516" width="20.7109375" style="291" bestFit="1" customWidth="1"/>
    <col min="10517" max="10523" width="11.42578125" style="291"/>
    <col min="10524" max="10524" width="15.7109375" style="291" bestFit="1" customWidth="1"/>
    <col min="10525" max="10526" width="12.7109375" style="291" bestFit="1" customWidth="1"/>
    <col min="10527" max="10529" width="11.42578125" style="291"/>
    <col min="10530" max="10530" width="15.5703125" style="291" customWidth="1"/>
    <col min="10531" max="10532" width="13" style="291" bestFit="1" customWidth="1"/>
    <col min="10533" max="10534" width="11.42578125" style="291"/>
    <col min="10535" max="10537" width="12.7109375" style="291" bestFit="1" customWidth="1"/>
    <col min="10538" max="10538" width="11.42578125" style="291"/>
    <col min="10539" max="10539" width="17.5703125" style="291" bestFit="1" customWidth="1"/>
    <col min="10540" max="10541" width="13" style="291" bestFit="1" customWidth="1"/>
    <col min="10542" max="10550" width="11.42578125" style="291"/>
    <col min="10551" max="10551" width="15.7109375" style="291" bestFit="1" customWidth="1"/>
    <col min="10552" max="10744" width="11.42578125" style="291"/>
    <col min="10745" max="10746" width="11.42578125" style="291" customWidth="1"/>
    <col min="10747" max="10747" width="21.5703125" style="291" customWidth="1"/>
    <col min="10748" max="10749" width="14.140625" style="291" bestFit="1" customWidth="1"/>
    <col min="10750" max="10750" width="11.42578125" style="291"/>
    <col min="10751" max="10758" width="12.7109375" style="291" bestFit="1" customWidth="1"/>
    <col min="10759" max="10766" width="11.42578125" style="291"/>
    <col min="10767" max="10767" width="15.7109375" style="291" bestFit="1" customWidth="1"/>
    <col min="10768" max="10769" width="11.42578125" style="291"/>
    <col min="10770" max="10770" width="20.5703125" style="291" bestFit="1" customWidth="1"/>
    <col min="10771" max="10771" width="50.42578125" style="291" bestFit="1" customWidth="1"/>
    <col min="10772" max="10772" width="20.7109375" style="291" bestFit="1" customWidth="1"/>
    <col min="10773" max="10779" width="11.42578125" style="291"/>
    <col min="10780" max="10780" width="15.7109375" style="291" bestFit="1" customWidth="1"/>
    <col min="10781" max="10782" width="12.7109375" style="291" bestFit="1" customWidth="1"/>
    <col min="10783" max="10785" width="11.42578125" style="291"/>
    <col min="10786" max="10786" width="15.5703125" style="291" customWidth="1"/>
    <col min="10787" max="10788" width="13" style="291" bestFit="1" customWidth="1"/>
    <col min="10789" max="10790" width="11.42578125" style="291"/>
    <col min="10791" max="10793" width="12.7109375" style="291" bestFit="1" customWidth="1"/>
    <col min="10794" max="10794" width="11.42578125" style="291"/>
    <col min="10795" max="10795" width="17.5703125" style="291" bestFit="1" customWidth="1"/>
    <col min="10796" max="10797" width="13" style="291" bestFit="1" customWidth="1"/>
    <col min="10798" max="10806" width="11.42578125" style="291"/>
    <col min="10807" max="10807" width="15.7109375" style="291" bestFit="1" customWidth="1"/>
    <col min="10808" max="11000" width="11.42578125" style="291"/>
    <col min="11001" max="11002" width="11.42578125" style="291" customWidth="1"/>
    <col min="11003" max="11003" width="21.5703125" style="291" customWidth="1"/>
    <col min="11004" max="11005" width="14.140625" style="291" bestFit="1" customWidth="1"/>
    <col min="11006" max="11006" width="11.42578125" style="291"/>
    <col min="11007" max="11014" width="12.7109375" style="291" bestFit="1" customWidth="1"/>
    <col min="11015" max="11022" width="11.42578125" style="291"/>
    <col min="11023" max="11023" width="15.7109375" style="291" bestFit="1" customWidth="1"/>
    <col min="11024" max="11025" width="11.42578125" style="291"/>
    <col min="11026" max="11026" width="20.5703125" style="291" bestFit="1" customWidth="1"/>
    <col min="11027" max="11027" width="50.42578125" style="291" bestFit="1" customWidth="1"/>
    <col min="11028" max="11028" width="20.7109375" style="291" bestFit="1" customWidth="1"/>
    <col min="11029" max="11035" width="11.42578125" style="291"/>
    <col min="11036" max="11036" width="15.7109375" style="291" bestFit="1" customWidth="1"/>
    <col min="11037" max="11038" width="12.7109375" style="291" bestFit="1" customWidth="1"/>
    <col min="11039" max="11041" width="11.42578125" style="291"/>
    <col min="11042" max="11042" width="15.5703125" style="291" customWidth="1"/>
    <col min="11043" max="11044" width="13" style="291" bestFit="1" customWidth="1"/>
    <col min="11045" max="11046" width="11.42578125" style="291"/>
    <col min="11047" max="11049" width="12.7109375" style="291" bestFit="1" customWidth="1"/>
    <col min="11050" max="11050" width="11.42578125" style="291"/>
    <col min="11051" max="11051" width="17.5703125" style="291" bestFit="1" customWidth="1"/>
    <col min="11052" max="11053" width="13" style="291" bestFit="1" customWidth="1"/>
    <col min="11054" max="11062" width="11.42578125" style="291"/>
    <col min="11063" max="11063" width="15.7109375" style="291" bestFit="1" customWidth="1"/>
    <col min="11064" max="11256" width="11.42578125" style="291"/>
    <col min="11257" max="11258" width="11.42578125" style="291" customWidth="1"/>
    <col min="11259" max="11259" width="21.5703125" style="291" customWidth="1"/>
    <col min="11260" max="11261" width="14.140625" style="291" bestFit="1" customWidth="1"/>
    <col min="11262" max="11262" width="11.42578125" style="291"/>
    <col min="11263" max="11270" width="12.7109375" style="291" bestFit="1" customWidth="1"/>
    <col min="11271" max="11278" width="11.42578125" style="291"/>
    <col min="11279" max="11279" width="15.7109375" style="291" bestFit="1" customWidth="1"/>
    <col min="11280" max="11281" width="11.42578125" style="291"/>
    <col min="11282" max="11282" width="20.5703125" style="291" bestFit="1" customWidth="1"/>
    <col min="11283" max="11283" width="50.42578125" style="291" bestFit="1" customWidth="1"/>
    <col min="11284" max="11284" width="20.7109375" style="291" bestFit="1" customWidth="1"/>
    <col min="11285" max="11291" width="11.42578125" style="291"/>
    <col min="11292" max="11292" width="15.7109375" style="291" bestFit="1" customWidth="1"/>
    <col min="11293" max="11294" width="12.7109375" style="291" bestFit="1" customWidth="1"/>
    <col min="11295" max="11297" width="11.42578125" style="291"/>
    <col min="11298" max="11298" width="15.5703125" style="291" customWidth="1"/>
    <col min="11299" max="11300" width="13" style="291" bestFit="1" customWidth="1"/>
    <col min="11301" max="11302" width="11.42578125" style="291"/>
    <col min="11303" max="11305" width="12.7109375" style="291" bestFit="1" customWidth="1"/>
    <col min="11306" max="11306" width="11.42578125" style="291"/>
    <col min="11307" max="11307" width="17.5703125" style="291" bestFit="1" customWidth="1"/>
    <col min="11308" max="11309" width="13" style="291" bestFit="1" customWidth="1"/>
    <col min="11310" max="11318" width="11.42578125" style="291"/>
    <col min="11319" max="11319" width="15.7109375" style="291" bestFit="1" customWidth="1"/>
    <col min="11320" max="11512" width="11.42578125" style="291"/>
    <col min="11513" max="11514" width="11.42578125" style="291" customWidth="1"/>
    <col min="11515" max="11515" width="21.5703125" style="291" customWidth="1"/>
    <col min="11516" max="11517" width="14.140625" style="291" bestFit="1" customWidth="1"/>
    <col min="11518" max="11518" width="11.42578125" style="291"/>
    <col min="11519" max="11526" width="12.7109375" style="291" bestFit="1" customWidth="1"/>
    <col min="11527" max="11534" width="11.42578125" style="291"/>
    <col min="11535" max="11535" width="15.7109375" style="291" bestFit="1" customWidth="1"/>
    <col min="11536" max="11537" width="11.42578125" style="291"/>
    <col min="11538" max="11538" width="20.5703125" style="291" bestFit="1" customWidth="1"/>
    <col min="11539" max="11539" width="50.42578125" style="291" bestFit="1" customWidth="1"/>
    <col min="11540" max="11540" width="20.7109375" style="291" bestFit="1" customWidth="1"/>
    <col min="11541" max="11547" width="11.42578125" style="291"/>
    <col min="11548" max="11548" width="15.7109375" style="291" bestFit="1" customWidth="1"/>
    <col min="11549" max="11550" width="12.7109375" style="291" bestFit="1" customWidth="1"/>
    <col min="11551" max="11553" width="11.42578125" style="291"/>
    <col min="11554" max="11554" width="15.5703125" style="291" customWidth="1"/>
    <col min="11555" max="11556" width="13" style="291" bestFit="1" customWidth="1"/>
    <col min="11557" max="11558" width="11.42578125" style="291"/>
    <col min="11559" max="11561" width="12.7109375" style="291" bestFit="1" customWidth="1"/>
    <col min="11562" max="11562" width="11.42578125" style="291"/>
    <col min="11563" max="11563" width="17.5703125" style="291" bestFit="1" customWidth="1"/>
    <col min="11564" max="11565" width="13" style="291" bestFit="1" customWidth="1"/>
    <col min="11566" max="11574" width="11.42578125" style="291"/>
    <col min="11575" max="11575" width="15.7109375" style="291" bestFit="1" customWidth="1"/>
    <col min="11576" max="11768" width="11.42578125" style="291"/>
    <col min="11769" max="11770" width="11.42578125" style="291" customWidth="1"/>
    <col min="11771" max="11771" width="21.5703125" style="291" customWidth="1"/>
    <col min="11772" max="11773" width="14.140625" style="291" bestFit="1" customWidth="1"/>
    <col min="11774" max="11774" width="11.42578125" style="291"/>
    <col min="11775" max="11782" width="12.7109375" style="291" bestFit="1" customWidth="1"/>
    <col min="11783" max="11790" width="11.42578125" style="291"/>
    <col min="11791" max="11791" width="15.7109375" style="291" bestFit="1" customWidth="1"/>
    <col min="11792" max="11793" width="11.42578125" style="291"/>
    <col min="11794" max="11794" width="20.5703125" style="291" bestFit="1" customWidth="1"/>
    <col min="11795" max="11795" width="50.42578125" style="291" bestFit="1" customWidth="1"/>
    <col min="11796" max="11796" width="20.7109375" style="291" bestFit="1" customWidth="1"/>
    <col min="11797" max="11803" width="11.42578125" style="291"/>
    <col min="11804" max="11804" width="15.7109375" style="291" bestFit="1" customWidth="1"/>
    <col min="11805" max="11806" width="12.7109375" style="291" bestFit="1" customWidth="1"/>
    <col min="11807" max="11809" width="11.42578125" style="291"/>
    <col min="11810" max="11810" width="15.5703125" style="291" customWidth="1"/>
    <col min="11811" max="11812" width="13" style="291" bestFit="1" customWidth="1"/>
    <col min="11813" max="11814" width="11.42578125" style="291"/>
    <col min="11815" max="11817" width="12.7109375" style="291" bestFit="1" customWidth="1"/>
    <col min="11818" max="11818" width="11.42578125" style="291"/>
    <col min="11819" max="11819" width="17.5703125" style="291" bestFit="1" customWidth="1"/>
    <col min="11820" max="11821" width="13" style="291" bestFit="1" customWidth="1"/>
    <col min="11822" max="11830" width="11.42578125" style="291"/>
    <col min="11831" max="11831" width="15.7109375" style="291" bestFit="1" customWidth="1"/>
    <col min="11832" max="12024" width="11.42578125" style="291"/>
    <col min="12025" max="12026" width="11.42578125" style="291" customWidth="1"/>
    <col min="12027" max="12027" width="21.5703125" style="291" customWidth="1"/>
    <col min="12028" max="12029" width="14.140625" style="291" bestFit="1" customWidth="1"/>
    <col min="12030" max="12030" width="11.42578125" style="291"/>
    <col min="12031" max="12038" width="12.7109375" style="291" bestFit="1" customWidth="1"/>
    <col min="12039" max="12046" width="11.42578125" style="291"/>
    <col min="12047" max="12047" width="15.7109375" style="291" bestFit="1" customWidth="1"/>
    <col min="12048" max="12049" width="11.42578125" style="291"/>
    <col min="12050" max="12050" width="20.5703125" style="291" bestFit="1" customWidth="1"/>
    <col min="12051" max="12051" width="50.42578125" style="291" bestFit="1" customWidth="1"/>
    <col min="12052" max="12052" width="20.7109375" style="291" bestFit="1" customWidth="1"/>
    <col min="12053" max="12059" width="11.42578125" style="291"/>
    <col min="12060" max="12060" width="15.7109375" style="291" bestFit="1" customWidth="1"/>
    <col min="12061" max="12062" width="12.7109375" style="291" bestFit="1" customWidth="1"/>
    <col min="12063" max="12065" width="11.42578125" style="291"/>
    <col min="12066" max="12066" width="15.5703125" style="291" customWidth="1"/>
    <col min="12067" max="12068" width="13" style="291" bestFit="1" customWidth="1"/>
    <col min="12069" max="12070" width="11.42578125" style="291"/>
    <col min="12071" max="12073" width="12.7109375" style="291" bestFit="1" customWidth="1"/>
    <col min="12074" max="12074" width="11.42578125" style="291"/>
    <col min="12075" max="12075" width="17.5703125" style="291" bestFit="1" customWidth="1"/>
    <col min="12076" max="12077" width="13" style="291" bestFit="1" customWidth="1"/>
    <col min="12078" max="12086" width="11.42578125" style="291"/>
    <col min="12087" max="12087" width="15.7109375" style="291" bestFit="1" customWidth="1"/>
    <col min="12088" max="12280" width="11.42578125" style="291"/>
    <col min="12281" max="12282" width="11.42578125" style="291" customWidth="1"/>
    <col min="12283" max="12283" width="21.5703125" style="291" customWidth="1"/>
    <col min="12284" max="12285" width="14.140625" style="291" bestFit="1" customWidth="1"/>
    <col min="12286" max="12286" width="11.42578125" style="291"/>
    <col min="12287" max="12294" width="12.7109375" style="291" bestFit="1" customWidth="1"/>
    <col min="12295" max="12302" width="11.42578125" style="291"/>
    <col min="12303" max="12303" width="15.7109375" style="291" bestFit="1" customWidth="1"/>
    <col min="12304" max="12305" width="11.42578125" style="291"/>
    <col min="12306" max="12306" width="20.5703125" style="291" bestFit="1" customWidth="1"/>
    <col min="12307" max="12307" width="50.42578125" style="291" bestFit="1" customWidth="1"/>
    <col min="12308" max="12308" width="20.7109375" style="291" bestFit="1" customWidth="1"/>
    <col min="12309" max="12315" width="11.42578125" style="291"/>
    <col min="12316" max="12316" width="15.7109375" style="291" bestFit="1" customWidth="1"/>
    <col min="12317" max="12318" width="12.7109375" style="291" bestFit="1" customWidth="1"/>
    <col min="12319" max="12321" width="11.42578125" style="291"/>
    <col min="12322" max="12322" width="15.5703125" style="291" customWidth="1"/>
    <col min="12323" max="12324" width="13" style="291" bestFit="1" customWidth="1"/>
    <col min="12325" max="12326" width="11.42578125" style="291"/>
    <col min="12327" max="12329" width="12.7109375" style="291" bestFit="1" customWidth="1"/>
    <col min="12330" max="12330" width="11.42578125" style="291"/>
    <col min="12331" max="12331" width="17.5703125" style="291" bestFit="1" customWidth="1"/>
    <col min="12332" max="12333" width="13" style="291" bestFit="1" customWidth="1"/>
    <col min="12334" max="12342" width="11.42578125" style="291"/>
    <col min="12343" max="12343" width="15.7109375" style="291" bestFit="1" customWidth="1"/>
    <col min="12344" max="12536" width="11.42578125" style="291"/>
    <col min="12537" max="12538" width="11.42578125" style="291" customWidth="1"/>
    <col min="12539" max="12539" width="21.5703125" style="291" customWidth="1"/>
    <col min="12540" max="12541" width="14.140625" style="291" bestFit="1" customWidth="1"/>
    <col min="12542" max="12542" width="11.42578125" style="291"/>
    <col min="12543" max="12550" width="12.7109375" style="291" bestFit="1" customWidth="1"/>
    <col min="12551" max="12558" width="11.42578125" style="291"/>
    <col min="12559" max="12559" width="15.7109375" style="291" bestFit="1" customWidth="1"/>
    <col min="12560" max="12561" width="11.42578125" style="291"/>
    <col min="12562" max="12562" width="20.5703125" style="291" bestFit="1" customWidth="1"/>
    <col min="12563" max="12563" width="50.42578125" style="291" bestFit="1" customWidth="1"/>
    <col min="12564" max="12564" width="20.7109375" style="291" bestFit="1" customWidth="1"/>
    <col min="12565" max="12571" width="11.42578125" style="291"/>
    <col min="12572" max="12572" width="15.7109375" style="291" bestFit="1" customWidth="1"/>
    <col min="12573" max="12574" width="12.7109375" style="291" bestFit="1" customWidth="1"/>
    <col min="12575" max="12577" width="11.42578125" style="291"/>
    <col min="12578" max="12578" width="15.5703125" style="291" customWidth="1"/>
    <col min="12579" max="12580" width="13" style="291" bestFit="1" customWidth="1"/>
    <col min="12581" max="12582" width="11.42578125" style="291"/>
    <col min="12583" max="12585" width="12.7109375" style="291" bestFit="1" customWidth="1"/>
    <col min="12586" max="12586" width="11.42578125" style="291"/>
    <col min="12587" max="12587" width="17.5703125" style="291" bestFit="1" customWidth="1"/>
    <col min="12588" max="12589" width="13" style="291" bestFit="1" customWidth="1"/>
    <col min="12590" max="12598" width="11.42578125" style="291"/>
    <col min="12599" max="12599" width="15.7109375" style="291" bestFit="1" customWidth="1"/>
    <col min="12600" max="12792" width="11.42578125" style="291"/>
    <col min="12793" max="12794" width="11.42578125" style="291" customWidth="1"/>
    <col min="12795" max="12795" width="21.5703125" style="291" customWidth="1"/>
    <col min="12796" max="12797" width="14.140625" style="291" bestFit="1" customWidth="1"/>
    <col min="12798" max="12798" width="11.42578125" style="291"/>
    <col min="12799" max="12806" width="12.7109375" style="291" bestFit="1" customWidth="1"/>
    <col min="12807" max="12814" width="11.42578125" style="291"/>
    <col min="12815" max="12815" width="15.7109375" style="291" bestFit="1" customWidth="1"/>
    <col min="12816" max="12817" width="11.42578125" style="291"/>
    <col min="12818" max="12818" width="20.5703125" style="291" bestFit="1" customWidth="1"/>
    <col min="12819" max="12819" width="50.42578125" style="291" bestFit="1" customWidth="1"/>
    <col min="12820" max="12820" width="20.7109375" style="291" bestFit="1" customWidth="1"/>
    <col min="12821" max="12827" width="11.42578125" style="291"/>
    <col min="12828" max="12828" width="15.7109375" style="291" bestFit="1" customWidth="1"/>
    <col min="12829" max="12830" width="12.7109375" style="291" bestFit="1" customWidth="1"/>
    <col min="12831" max="12833" width="11.42578125" style="291"/>
    <col min="12834" max="12834" width="15.5703125" style="291" customWidth="1"/>
    <col min="12835" max="12836" width="13" style="291" bestFit="1" customWidth="1"/>
    <col min="12837" max="12838" width="11.42578125" style="291"/>
    <col min="12839" max="12841" width="12.7109375" style="291" bestFit="1" customWidth="1"/>
    <col min="12842" max="12842" width="11.42578125" style="291"/>
    <col min="12843" max="12843" width="17.5703125" style="291" bestFit="1" customWidth="1"/>
    <col min="12844" max="12845" width="13" style="291" bestFit="1" customWidth="1"/>
    <col min="12846" max="12854" width="11.42578125" style="291"/>
    <col min="12855" max="12855" width="15.7109375" style="291" bestFit="1" customWidth="1"/>
    <col min="12856" max="13048" width="11.42578125" style="291"/>
    <col min="13049" max="13050" width="11.42578125" style="291" customWidth="1"/>
    <col min="13051" max="13051" width="21.5703125" style="291" customWidth="1"/>
    <col min="13052" max="13053" width="14.140625" style="291" bestFit="1" customWidth="1"/>
    <col min="13054" max="13054" width="11.42578125" style="291"/>
    <col min="13055" max="13062" width="12.7109375" style="291" bestFit="1" customWidth="1"/>
    <col min="13063" max="13070" width="11.42578125" style="291"/>
    <col min="13071" max="13071" width="15.7109375" style="291" bestFit="1" customWidth="1"/>
    <col min="13072" max="13073" width="11.42578125" style="291"/>
    <col min="13074" max="13074" width="20.5703125" style="291" bestFit="1" customWidth="1"/>
    <col min="13075" max="13075" width="50.42578125" style="291" bestFit="1" customWidth="1"/>
    <col min="13076" max="13076" width="20.7109375" style="291" bestFit="1" customWidth="1"/>
    <col min="13077" max="13083" width="11.42578125" style="291"/>
    <col min="13084" max="13084" width="15.7109375" style="291" bestFit="1" customWidth="1"/>
    <col min="13085" max="13086" width="12.7109375" style="291" bestFit="1" customWidth="1"/>
    <col min="13087" max="13089" width="11.42578125" style="291"/>
    <col min="13090" max="13090" width="15.5703125" style="291" customWidth="1"/>
    <col min="13091" max="13092" width="13" style="291" bestFit="1" customWidth="1"/>
    <col min="13093" max="13094" width="11.42578125" style="291"/>
    <col min="13095" max="13097" width="12.7109375" style="291" bestFit="1" customWidth="1"/>
    <col min="13098" max="13098" width="11.42578125" style="291"/>
    <col min="13099" max="13099" width="17.5703125" style="291" bestFit="1" customWidth="1"/>
    <col min="13100" max="13101" width="13" style="291" bestFit="1" customWidth="1"/>
    <col min="13102" max="13110" width="11.42578125" style="291"/>
    <col min="13111" max="13111" width="15.7109375" style="291" bestFit="1" customWidth="1"/>
    <col min="13112" max="13304" width="11.42578125" style="291"/>
    <col min="13305" max="13306" width="11.42578125" style="291" customWidth="1"/>
    <col min="13307" max="13307" width="21.5703125" style="291" customWidth="1"/>
    <col min="13308" max="13309" width="14.140625" style="291" bestFit="1" customWidth="1"/>
    <col min="13310" max="13310" width="11.42578125" style="291"/>
    <col min="13311" max="13318" width="12.7109375" style="291" bestFit="1" customWidth="1"/>
    <col min="13319" max="13326" width="11.42578125" style="291"/>
    <col min="13327" max="13327" width="15.7109375" style="291" bestFit="1" customWidth="1"/>
    <col min="13328" max="13329" width="11.42578125" style="291"/>
    <col min="13330" max="13330" width="20.5703125" style="291" bestFit="1" customWidth="1"/>
    <col min="13331" max="13331" width="50.42578125" style="291" bestFit="1" customWidth="1"/>
    <col min="13332" max="13332" width="20.7109375" style="291" bestFit="1" customWidth="1"/>
    <col min="13333" max="13339" width="11.42578125" style="291"/>
    <col min="13340" max="13340" width="15.7109375" style="291" bestFit="1" customWidth="1"/>
    <col min="13341" max="13342" width="12.7109375" style="291" bestFit="1" customWidth="1"/>
    <col min="13343" max="13345" width="11.42578125" style="291"/>
    <col min="13346" max="13346" width="15.5703125" style="291" customWidth="1"/>
    <col min="13347" max="13348" width="13" style="291" bestFit="1" customWidth="1"/>
    <col min="13349" max="13350" width="11.42578125" style="291"/>
    <col min="13351" max="13353" width="12.7109375" style="291" bestFit="1" customWidth="1"/>
    <col min="13354" max="13354" width="11.42578125" style="291"/>
    <col min="13355" max="13355" width="17.5703125" style="291" bestFit="1" customWidth="1"/>
    <col min="13356" max="13357" width="13" style="291" bestFit="1" customWidth="1"/>
    <col min="13358" max="13366" width="11.42578125" style="291"/>
    <col min="13367" max="13367" width="15.7109375" style="291" bestFit="1" customWidth="1"/>
    <col min="13368" max="13560" width="11.42578125" style="291"/>
    <col min="13561" max="13562" width="11.42578125" style="291" customWidth="1"/>
    <col min="13563" max="13563" width="21.5703125" style="291" customWidth="1"/>
    <col min="13564" max="13565" width="14.140625" style="291" bestFit="1" customWidth="1"/>
    <col min="13566" max="13566" width="11.42578125" style="291"/>
    <col min="13567" max="13574" width="12.7109375" style="291" bestFit="1" customWidth="1"/>
    <col min="13575" max="13582" width="11.42578125" style="291"/>
    <col min="13583" max="13583" width="15.7109375" style="291" bestFit="1" customWidth="1"/>
    <col min="13584" max="13585" width="11.42578125" style="291"/>
    <col min="13586" max="13586" width="20.5703125" style="291" bestFit="1" customWidth="1"/>
    <col min="13587" max="13587" width="50.42578125" style="291" bestFit="1" customWidth="1"/>
    <col min="13588" max="13588" width="20.7109375" style="291" bestFit="1" customWidth="1"/>
    <col min="13589" max="13595" width="11.42578125" style="291"/>
    <col min="13596" max="13596" width="15.7109375" style="291" bestFit="1" customWidth="1"/>
    <col min="13597" max="13598" width="12.7109375" style="291" bestFit="1" customWidth="1"/>
    <col min="13599" max="13601" width="11.42578125" style="291"/>
    <col min="13602" max="13602" width="15.5703125" style="291" customWidth="1"/>
    <col min="13603" max="13604" width="13" style="291" bestFit="1" customWidth="1"/>
    <col min="13605" max="13606" width="11.42578125" style="291"/>
    <col min="13607" max="13609" width="12.7109375" style="291" bestFit="1" customWidth="1"/>
    <col min="13610" max="13610" width="11.42578125" style="291"/>
    <col min="13611" max="13611" width="17.5703125" style="291" bestFit="1" customWidth="1"/>
    <col min="13612" max="13613" width="13" style="291" bestFit="1" customWidth="1"/>
    <col min="13614" max="13622" width="11.42578125" style="291"/>
    <col min="13623" max="13623" width="15.7109375" style="291" bestFit="1" customWidth="1"/>
    <col min="13624" max="13816" width="11.42578125" style="291"/>
    <col min="13817" max="13818" width="11.42578125" style="291" customWidth="1"/>
    <col min="13819" max="13819" width="21.5703125" style="291" customWidth="1"/>
    <col min="13820" max="13821" width="14.140625" style="291" bestFit="1" customWidth="1"/>
    <col min="13822" max="13822" width="11.42578125" style="291"/>
    <col min="13823" max="13830" width="12.7109375" style="291" bestFit="1" customWidth="1"/>
    <col min="13831" max="13838" width="11.42578125" style="291"/>
    <col min="13839" max="13839" width="15.7109375" style="291" bestFit="1" customWidth="1"/>
    <col min="13840" max="13841" width="11.42578125" style="291"/>
    <col min="13842" max="13842" width="20.5703125" style="291" bestFit="1" customWidth="1"/>
    <col min="13843" max="13843" width="50.42578125" style="291" bestFit="1" customWidth="1"/>
    <col min="13844" max="13844" width="20.7109375" style="291" bestFit="1" customWidth="1"/>
    <col min="13845" max="13851" width="11.42578125" style="291"/>
    <col min="13852" max="13852" width="15.7109375" style="291" bestFit="1" customWidth="1"/>
    <col min="13853" max="13854" width="12.7109375" style="291" bestFit="1" customWidth="1"/>
    <col min="13855" max="13857" width="11.42578125" style="291"/>
    <col min="13858" max="13858" width="15.5703125" style="291" customWidth="1"/>
    <col min="13859" max="13860" width="13" style="291" bestFit="1" customWidth="1"/>
    <col min="13861" max="13862" width="11.42578125" style="291"/>
    <col min="13863" max="13865" width="12.7109375" style="291" bestFit="1" customWidth="1"/>
    <col min="13866" max="13866" width="11.42578125" style="291"/>
    <col min="13867" max="13867" width="17.5703125" style="291" bestFit="1" customWidth="1"/>
    <col min="13868" max="13869" width="13" style="291" bestFit="1" customWidth="1"/>
    <col min="13870" max="13878" width="11.42578125" style="291"/>
    <col min="13879" max="13879" width="15.7109375" style="291" bestFit="1" customWidth="1"/>
    <col min="13880" max="14072" width="11.42578125" style="291"/>
    <col min="14073" max="14074" width="11.42578125" style="291" customWidth="1"/>
    <col min="14075" max="14075" width="21.5703125" style="291" customWidth="1"/>
    <col min="14076" max="14077" width="14.140625" style="291" bestFit="1" customWidth="1"/>
    <col min="14078" max="14078" width="11.42578125" style="291"/>
    <col min="14079" max="14086" width="12.7109375" style="291" bestFit="1" customWidth="1"/>
    <col min="14087" max="14094" width="11.42578125" style="291"/>
    <col min="14095" max="14095" width="15.7109375" style="291" bestFit="1" customWidth="1"/>
    <col min="14096" max="14097" width="11.42578125" style="291"/>
    <col min="14098" max="14098" width="20.5703125" style="291" bestFit="1" customWidth="1"/>
    <col min="14099" max="14099" width="50.42578125" style="291" bestFit="1" customWidth="1"/>
    <col min="14100" max="14100" width="20.7109375" style="291" bestFit="1" customWidth="1"/>
    <col min="14101" max="14107" width="11.42578125" style="291"/>
    <col min="14108" max="14108" width="15.7109375" style="291" bestFit="1" customWidth="1"/>
    <col min="14109" max="14110" width="12.7109375" style="291" bestFit="1" customWidth="1"/>
    <col min="14111" max="14113" width="11.42578125" style="291"/>
    <col min="14114" max="14114" width="15.5703125" style="291" customWidth="1"/>
    <col min="14115" max="14116" width="13" style="291" bestFit="1" customWidth="1"/>
    <col min="14117" max="14118" width="11.42578125" style="291"/>
    <col min="14119" max="14121" width="12.7109375" style="291" bestFit="1" customWidth="1"/>
    <col min="14122" max="14122" width="11.42578125" style="291"/>
    <col min="14123" max="14123" width="17.5703125" style="291" bestFit="1" customWidth="1"/>
    <col min="14124" max="14125" width="13" style="291" bestFit="1" customWidth="1"/>
    <col min="14126" max="14134" width="11.42578125" style="291"/>
    <col min="14135" max="14135" width="15.7109375" style="291" bestFit="1" customWidth="1"/>
    <col min="14136" max="14328" width="11.42578125" style="291"/>
    <col min="14329" max="14330" width="11.42578125" style="291" customWidth="1"/>
    <col min="14331" max="14331" width="21.5703125" style="291" customWidth="1"/>
    <col min="14332" max="14333" width="14.140625" style="291" bestFit="1" customWidth="1"/>
    <col min="14334" max="14334" width="11.42578125" style="291"/>
    <col min="14335" max="14342" width="12.7109375" style="291" bestFit="1" customWidth="1"/>
    <col min="14343" max="14350" width="11.42578125" style="291"/>
    <col min="14351" max="14351" width="15.7109375" style="291" bestFit="1" customWidth="1"/>
    <col min="14352" max="14353" width="11.42578125" style="291"/>
    <col min="14354" max="14354" width="20.5703125" style="291" bestFit="1" customWidth="1"/>
    <col min="14355" max="14355" width="50.42578125" style="291" bestFit="1" customWidth="1"/>
    <col min="14356" max="14356" width="20.7109375" style="291" bestFit="1" customWidth="1"/>
    <col min="14357" max="14363" width="11.42578125" style="291"/>
    <col min="14364" max="14364" width="15.7109375" style="291" bestFit="1" customWidth="1"/>
    <col min="14365" max="14366" width="12.7109375" style="291" bestFit="1" customWidth="1"/>
    <col min="14367" max="14369" width="11.42578125" style="291"/>
    <col min="14370" max="14370" width="15.5703125" style="291" customWidth="1"/>
    <col min="14371" max="14372" width="13" style="291" bestFit="1" customWidth="1"/>
    <col min="14373" max="14374" width="11.42578125" style="291"/>
    <col min="14375" max="14377" width="12.7109375" style="291" bestFit="1" customWidth="1"/>
    <col min="14378" max="14378" width="11.42578125" style="291"/>
    <col min="14379" max="14379" width="17.5703125" style="291" bestFit="1" customWidth="1"/>
    <col min="14380" max="14381" width="13" style="291" bestFit="1" customWidth="1"/>
    <col min="14382" max="14390" width="11.42578125" style="291"/>
    <col min="14391" max="14391" width="15.7109375" style="291" bestFit="1" customWidth="1"/>
    <col min="14392" max="14584" width="11.42578125" style="291"/>
    <col min="14585" max="14586" width="11.42578125" style="291" customWidth="1"/>
    <col min="14587" max="14587" width="21.5703125" style="291" customWidth="1"/>
    <col min="14588" max="14589" width="14.140625" style="291" bestFit="1" customWidth="1"/>
    <col min="14590" max="14590" width="11.42578125" style="291"/>
    <col min="14591" max="14598" width="12.7109375" style="291" bestFit="1" customWidth="1"/>
    <col min="14599" max="14606" width="11.42578125" style="291"/>
    <col min="14607" max="14607" width="15.7109375" style="291" bestFit="1" customWidth="1"/>
    <col min="14608" max="14609" width="11.42578125" style="291"/>
    <col min="14610" max="14610" width="20.5703125" style="291" bestFit="1" customWidth="1"/>
    <col min="14611" max="14611" width="50.42578125" style="291" bestFit="1" customWidth="1"/>
    <col min="14612" max="14612" width="20.7109375" style="291" bestFit="1" customWidth="1"/>
    <col min="14613" max="14619" width="11.42578125" style="291"/>
    <col min="14620" max="14620" width="15.7109375" style="291" bestFit="1" customWidth="1"/>
    <col min="14621" max="14622" width="12.7109375" style="291" bestFit="1" customWidth="1"/>
    <col min="14623" max="14625" width="11.42578125" style="291"/>
    <col min="14626" max="14626" width="15.5703125" style="291" customWidth="1"/>
    <col min="14627" max="14628" width="13" style="291" bestFit="1" customWidth="1"/>
    <col min="14629" max="14630" width="11.42578125" style="291"/>
    <col min="14631" max="14633" width="12.7109375" style="291" bestFit="1" customWidth="1"/>
    <col min="14634" max="14634" width="11.42578125" style="291"/>
    <col min="14635" max="14635" width="17.5703125" style="291" bestFit="1" customWidth="1"/>
    <col min="14636" max="14637" width="13" style="291" bestFit="1" customWidth="1"/>
    <col min="14638" max="14646" width="11.42578125" style="291"/>
    <col min="14647" max="14647" width="15.7109375" style="291" bestFit="1" customWidth="1"/>
    <col min="14648" max="14840" width="11.42578125" style="291"/>
    <col min="14841" max="14842" width="11.42578125" style="291" customWidth="1"/>
    <col min="14843" max="14843" width="21.5703125" style="291" customWidth="1"/>
    <col min="14844" max="14845" width="14.140625" style="291" bestFit="1" customWidth="1"/>
    <col min="14846" max="14846" width="11.42578125" style="291"/>
    <col min="14847" max="14854" width="12.7109375" style="291" bestFit="1" customWidth="1"/>
    <col min="14855" max="14862" width="11.42578125" style="291"/>
    <col min="14863" max="14863" width="15.7109375" style="291" bestFit="1" customWidth="1"/>
    <col min="14864" max="14865" width="11.42578125" style="291"/>
    <col min="14866" max="14866" width="20.5703125" style="291" bestFit="1" customWidth="1"/>
    <col min="14867" max="14867" width="50.42578125" style="291" bestFit="1" customWidth="1"/>
    <col min="14868" max="14868" width="20.7109375" style="291" bestFit="1" customWidth="1"/>
    <col min="14869" max="14875" width="11.42578125" style="291"/>
    <col min="14876" max="14876" width="15.7109375" style="291" bestFit="1" customWidth="1"/>
    <col min="14877" max="14878" width="12.7109375" style="291" bestFit="1" customWidth="1"/>
    <col min="14879" max="14881" width="11.42578125" style="291"/>
    <col min="14882" max="14882" width="15.5703125" style="291" customWidth="1"/>
    <col min="14883" max="14884" width="13" style="291" bestFit="1" customWidth="1"/>
    <col min="14885" max="14886" width="11.42578125" style="291"/>
    <col min="14887" max="14889" width="12.7109375" style="291" bestFit="1" customWidth="1"/>
    <col min="14890" max="14890" width="11.42578125" style="291"/>
    <col min="14891" max="14891" width="17.5703125" style="291" bestFit="1" customWidth="1"/>
    <col min="14892" max="14893" width="13" style="291" bestFit="1" customWidth="1"/>
    <col min="14894" max="14902" width="11.42578125" style="291"/>
    <col min="14903" max="14903" width="15.7109375" style="291" bestFit="1" customWidth="1"/>
    <col min="14904" max="15096" width="11.42578125" style="291"/>
    <col min="15097" max="15098" width="11.42578125" style="291" customWidth="1"/>
    <col min="15099" max="15099" width="21.5703125" style="291" customWidth="1"/>
    <col min="15100" max="15101" width="14.140625" style="291" bestFit="1" customWidth="1"/>
    <col min="15102" max="15102" width="11.42578125" style="291"/>
    <col min="15103" max="15110" width="12.7109375" style="291" bestFit="1" customWidth="1"/>
    <col min="15111" max="15118" width="11.42578125" style="291"/>
    <col min="15119" max="15119" width="15.7109375" style="291" bestFit="1" customWidth="1"/>
    <col min="15120" max="15121" width="11.42578125" style="291"/>
    <col min="15122" max="15122" width="20.5703125" style="291" bestFit="1" customWidth="1"/>
    <col min="15123" max="15123" width="50.42578125" style="291" bestFit="1" customWidth="1"/>
    <col min="15124" max="15124" width="20.7109375" style="291" bestFit="1" customWidth="1"/>
    <col min="15125" max="15131" width="11.42578125" style="291"/>
    <col min="15132" max="15132" width="15.7109375" style="291" bestFit="1" customWidth="1"/>
    <col min="15133" max="15134" width="12.7109375" style="291" bestFit="1" customWidth="1"/>
    <col min="15135" max="15137" width="11.42578125" style="291"/>
    <col min="15138" max="15138" width="15.5703125" style="291" customWidth="1"/>
    <col min="15139" max="15140" width="13" style="291" bestFit="1" customWidth="1"/>
    <col min="15141" max="15142" width="11.42578125" style="291"/>
    <col min="15143" max="15145" width="12.7109375" style="291" bestFit="1" customWidth="1"/>
    <col min="15146" max="15146" width="11.42578125" style="291"/>
    <col min="15147" max="15147" width="17.5703125" style="291" bestFit="1" customWidth="1"/>
    <col min="15148" max="15149" width="13" style="291" bestFit="1" customWidth="1"/>
    <col min="15150" max="15158" width="11.42578125" style="291"/>
    <col min="15159" max="15159" width="15.7109375" style="291" bestFit="1" customWidth="1"/>
    <col min="15160" max="15352" width="11.42578125" style="291"/>
    <col min="15353" max="15354" width="11.42578125" style="291" customWidth="1"/>
    <col min="15355" max="15355" width="21.5703125" style="291" customWidth="1"/>
    <col min="15356" max="15357" width="14.140625" style="291" bestFit="1" customWidth="1"/>
    <col min="15358" max="15358" width="11.42578125" style="291"/>
    <col min="15359" max="15366" width="12.7109375" style="291" bestFit="1" customWidth="1"/>
    <col min="15367" max="15374" width="11.42578125" style="291"/>
    <col min="15375" max="15375" width="15.7109375" style="291" bestFit="1" customWidth="1"/>
    <col min="15376" max="15377" width="11.42578125" style="291"/>
    <col min="15378" max="15378" width="20.5703125" style="291" bestFit="1" customWidth="1"/>
    <col min="15379" max="15379" width="50.42578125" style="291" bestFit="1" customWidth="1"/>
    <col min="15380" max="15380" width="20.7109375" style="291" bestFit="1" customWidth="1"/>
    <col min="15381" max="15387" width="11.42578125" style="291"/>
    <col min="15388" max="15388" width="15.7109375" style="291" bestFit="1" customWidth="1"/>
    <col min="15389" max="15390" width="12.7109375" style="291" bestFit="1" customWidth="1"/>
    <col min="15391" max="15393" width="11.42578125" style="291"/>
    <col min="15394" max="15394" width="15.5703125" style="291" customWidth="1"/>
    <col min="15395" max="15396" width="13" style="291" bestFit="1" customWidth="1"/>
    <col min="15397" max="15398" width="11.42578125" style="291"/>
    <col min="15399" max="15401" width="12.7109375" style="291" bestFit="1" customWidth="1"/>
    <col min="15402" max="15402" width="11.42578125" style="291"/>
    <col min="15403" max="15403" width="17.5703125" style="291" bestFit="1" customWidth="1"/>
    <col min="15404" max="15405" width="13" style="291" bestFit="1" customWidth="1"/>
    <col min="15406" max="15414" width="11.42578125" style="291"/>
    <col min="15415" max="15415" width="15.7109375" style="291" bestFit="1" customWidth="1"/>
    <col min="15416" max="15608" width="11.42578125" style="291"/>
    <col min="15609" max="15610" width="11.42578125" style="291" customWidth="1"/>
    <col min="15611" max="15611" width="21.5703125" style="291" customWidth="1"/>
    <col min="15612" max="15613" width="14.140625" style="291" bestFit="1" customWidth="1"/>
    <col min="15614" max="15614" width="11.42578125" style="291"/>
    <col min="15615" max="15622" width="12.7109375" style="291" bestFit="1" customWidth="1"/>
    <col min="15623" max="15630" width="11.42578125" style="291"/>
    <col min="15631" max="15631" width="15.7109375" style="291" bestFit="1" customWidth="1"/>
    <col min="15632" max="15633" width="11.42578125" style="291"/>
    <col min="15634" max="15634" width="20.5703125" style="291" bestFit="1" customWidth="1"/>
    <col min="15635" max="15635" width="50.42578125" style="291" bestFit="1" customWidth="1"/>
    <col min="15636" max="15636" width="20.7109375" style="291" bestFit="1" customWidth="1"/>
    <col min="15637" max="15643" width="11.42578125" style="291"/>
    <col min="15644" max="15644" width="15.7109375" style="291" bestFit="1" customWidth="1"/>
    <col min="15645" max="15646" width="12.7109375" style="291" bestFit="1" customWidth="1"/>
    <col min="15647" max="15649" width="11.42578125" style="291"/>
    <col min="15650" max="15650" width="15.5703125" style="291" customWidth="1"/>
    <col min="15651" max="15652" width="13" style="291" bestFit="1" customWidth="1"/>
    <col min="15653" max="15654" width="11.42578125" style="291"/>
    <col min="15655" max="15657" width="12.7109375" style="291" bestFit="1" customWidth="1"/>
    <col min="15658" max="15658" width="11.42578125" style="291"/>
    <col min="15659" max="15659" width="17.5703125" style="291" bestFit="1" customWidth="1"/>
    <col min="15660" max="15661" width="13" style="291" bestFit="1" customWidth="1"/>
    <col min="15662" max="15670" width="11.42578125" style="291"/>
    <col min="15671" max="15671" width="15.7109375" style="291" bestFit="1" customWidth="1"/>
    <col min="15672" max="15864" width="11.42578125" style="291"/>
    <col min="15865" max="15866" width="11.42578125" style="291" customWidth="1"/>
    <col min="15867" max="15867" width="21.5703125" style="291" customWidth="1"/>
    <col min="15868" max="15869" width="14.140625" style="291" bestFit="1" customWidth="1"/>
    <col min="15870" max="15870" width="11.42578125" style="291"/>
    <col min="15871" max="15878" width="12.7109375" style="291" bestFit="1" customWidth="1"/>
    <col min="15879" max="15886" width="11.42578125" style="291"/>
    <col min="15887" max="15887" width="15.7109375" style="291" bestFit="1" customWidth="1"/>
    <col min="15888" max="15889" width="11.42578125" style="291"/>
    <col min="15890" max="15890" width="20.5703125" style="291" bestFit="1" customWidth="1"/>
    <col min="15891" max="15891" width="50.42578125" style="291" bestFit="1" customWidth="1"/>
    <col min="15892" max="15892" width="20.7109375" style="291" bestFit="1" customWidth="1"/>
    <col min="15893" max="15899" width="11.42578125" style="291"/>
    <col min="15900" max="15900" width="15.7109375" style="291" bestFit="1" customWidth="1"/>
    <col min="15901" max="15902" width="12.7109375" style="291" bestFit="1" customWidth="1"/>
    <col min="15903" max="15905" width="11.42578125" style="291"/>
    <col min="15906" max="15906" width="15.5703125" style="291" customWidth="1"/>
    <col min="15907" max="15908" width="13" style="291" bestFit="1" customWidth="1"/>
    <col min="15909" max="15910" width="11.42578125" style="291"/>
    <col min="15911" max="15913" width="12.7109375" style="291" bestFit="1" customWidth="1"/>
    <col min="15914" max="15914" width="11.42578125" style="291"/>
    <col min="15915" max="15915" width="17.5703125" style="291" bestFit="1" customWidth="1"/>
    <col min="15916" max="15917" width="13" style="291" bestFit="1" customWidth="1"/>
    <col min="15918" max="15926" width="11.42578125" style="291"/>
    <col min="15927" max="15927" width="15.7109375" style="291" bestFit="1" customWidth="1"/>
    <col min="15928" max="16120" width="11.42578125" style="291"/>
    <col min="16121" max="16122" width="11.42578125" style="291" customWidth="1"/>
    <col min="16123" max="16123" width="21.5703125" style="291" customWidth="1"/>
    <col min="16124" max="16125" width="14.140625" style="291" bestFit="1" customWidth="1"/>
    <col min="16126" max="16126" width="11.42578125" style="291"/>
    <col min="16127" max="16134" width="12.7109375" style="291" bestFit="1" customWidth="1"/>
    <col min="16135" max="16142" width="11.42578125" style="291"/>
    <col min="16143" max="16143" width="15.7109375" style="291" bestFit="1" customWidth="1"/>
    <col min="16144" max="16145" width="11.42578125" style="291"/>
    <col min="16146" max="16146" width="20.5703125" style="291" bestFit="1" customWidth="1"/>
    <col min="16147" max="16147" width="50.42578125" style="291" bestFit="1" customWidth="1"/>
    <col min="16148" max="16148" width="20.7109375" style="291" bestFit="1" customWidth="1"/>
    <col min="16149" max="16155" width="11.42578125" style="291"/>
    <col min="16156" max="16156" width="15.7109375" style="291" bestFit="1" customWidth="1"/>
    <col min="16157" max="16158" width="12.7109375" style="291" bestFit="1" customWidth="1"/>
    <col min="16159" max="16161" width="11.42578125" style="291"/>
    <col min="16162" max="16162" width="15.5703125" style="291" customWidth="1"/>
    <col min="16163" max="16164" width="13" style="291" bestFit="1" customWidth="1"/>
    <col min="16165" max="16166" width="11.42578125" style="291"/>
    <col min="16167" max="16169" width="12.7109375" style="291" bestFit="1" customWidth="1"/>
    <col min="16170" max="16170" width="11.42578125" style="291"/>
    <col min="16171" max="16171" width="17.5703125" style="291" bestFit="1" customWidth="1"/>
    <col min="16172" max="16173" width="13" style="291" bestFit="1" customWidth="1"/>
    <col min="16174" max="16182" width="11.42578125" style="291"/>
    <col min="16183" max="16183" width="15.7109375" style="291" bestFit="1" customWidth="1"/>
    <col min="16184" max="16384" width="11.42578125" style="291"/>
  </cols>
  <sheetData>
    <row r="3" spans="3:57">
      <c r="C3" s="584" t="s">
        <v>529</v>
      </c>
      <c r="D3" s="584"/>
      <c r="E3" s="584"/>
      <c r="F3" s="584"/>
      <c r="G3" s="584"/>
      <c r="H3" s="584"/>
      <c r="I3" s="584"/>
      <c r="J3" s="584"/>
      <c r="K3" s="584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  <c r="Y3" s="382"/>
      <c r="Z3" s="382"/>
      <c r="AA3" s="382"/>
      <c r="AB3" s="382"/>
      <c r="AC3" s="382"/>
      <c r="AD3" s="382"/>
      <c r="AE3" s="382"/>
      <c r="AF3" s="382"/>
      <c r="AG3" s="382"/>
      <c r="AH3" s="382"/>
      <c r="AI3" s="469"/>
      <c r="AJ3" s="469"/>
      <c r="AK3" s="382"/>
      <c r="AL3" s="382"/>
      <c r="AM3" s="382"/>
      <c r="AN3" s="382"/>
      <c r="AO3" s="382"/>
      <c r="AP3" s="382"/>
      <c r="AQ3" s="382"/>
      <c r="AR3" s="382"/>
      <c r="AS3" s="382"/>
      <c r="AT3" s="382"/>
      <c r="AU3" s="382"/>
      <c r="AV3" s="382"/>
      <c r="AW3" s="382"/>
      <c r="AX3" s="382"/>
      <c r="AY3" s="382"/>
      <c r="AZ3" s="382"/>
      <c r="BA3" s="382"/>
      <c r="BB3" s="382"/>
      <c r="BC3" s="382"/>
      <c r="BD3" s="382"/>
      <c r="BE3" s="382"/>
    </row>
    <row r="4" spans="3:57">
      <c r="N4" s="382"/>
      <c r="O4" s="382" t="s">
        <v>402</v>
      </c>
      <c r="P4" s="382" t="s">
        <v>428</v>
      </c>
      <c r="Q4" s="382"/>
      <c r="R4" s="382"/>
      <c r="S4" s="382"/>
      <c r="T4" s="382"/>
      <c r="U4" s="382"/>
      <c r="V4" s="382"/>
      <c r="W4" s="382"/>
      <c r="X4" s="382"/>
      <c r="Y4" s="382"/>
      <c r="Z4" s="382"/>
      <c r="AA4" s="382"/>
      <c r="AB4" s="382"/>
      <c r="AC4" s="382"/>
      <c r="AD4" s="382"/>
      <c r="AE4" s="382"/>
      <c r="AF4" s="382"/>
      <c r="AG4" s="382"/>
      <c r="AH4" s="382"/>
      <c r="AI4" s="469"/>
      <c r="AJ4" s="469"/>
      <c r="AK4" s="382"/>
      <c r="AL4" s="382"/>
      <c r="AM4" s="382"/>
      <c r="AN4" s="382"/>
      <c r="AO4" s="382"/>
      <c r="AP4" s="382"/>
      <c r="AQ4" s="382"/>
      <c r="AR4" s="382"/>
      <c r="AS4" s="382"/>
      <c r="AT4" s="382"/>
      <c r="AU4" s="382"/>
      <c r="AV4" s="382"/>
      <c r="AW4" s="382"/>
      <c r="AX4" s="382"/>
      <c r="AY4" s="382"/>
      <c r="AZ4" s="382"/>
      <c r="BA4" s="382"/>
      <c r="BB4" s="382"/>
      <c r="BC4" s="382"/>
      <c r="BD4" s="382"/>
      <c r="BE4" s="382"/>
    </row>
    <row r="5" spans="3:57">
      <c r="C5" s="585" t="s">
        <v>760</v>
      </c>
      <c r="D5" s="585"/>
      <c r="E5" s="585"/>
      <c r="F5" s="585"/>
      <c r="N5" s="382"/>
      <c r="O5" s="382" t="s">
        <v>530</v>
      </c>
      <c r="P5" s="382" t="s">
        <v>429</v>
      </c>
      <c r="Q5" s="382" t="s">
        <v>430</v>
      </c>
      <c r="R5" s="382" t="s">
        <v>431</v>
      </c>
      <c r="S5" s="382" t="s">
        <v>432</v>
      </c>
      <c r="T5" s="382" t="s">
        <v>719</v>
      </c>
      <c r="U5" s="382" t="s">
        <v>433</v>
      </c>
      <c r="V5" s="382" t="s">
        <v>434</v>
      </c>
      <c r="W5" s="382" t="s">
        <v>435</v>
      </c>
      <c r="X5" s="382" t="s">
        <v>436</v>
      </c>
      <c r="Y5" s="382" t="s">
        <v>705</v>
      </c>
      <c r="Z5" s="383" t="s">
        <v>407</v>
      </c>
      <c r="AA5" s="382"/>
      <c r="AB5" s="382" t="s">
        <v>530</v>
      </c>
      <c r="AC5" s="382">
        <v>2016</v>
      </c>
      <c r="AD5" s="382">
        <v>2017</v>
      </c>
      <c r="AE5" s="382"/>
      <c r="AF5" s="382"/>
      <c r="AG5" s="382"/>
      <c r="AH5" s="530" t="s">
        <v>761</v>
      </c>
      <c r="AI5" s="541" t="s">
        <v>532</v>
      </c>
      <c r="AJ5" s="469" t="s">
        <v>533</v>
      </c>
      <c r="AK5" s="382"/>
      <c r="AL5" s="382"/>
      <c r="AM5" s="382">
        <v>2016</v>
      </c>
      <c r="AN5" s="382">
        <v>2017</v>
      </c>
      <c r="AO5" s="382"/>
      <c r="AP5" s="382"/>
      <c r="AQ5" s="382"/>
      <c r="AR5" s="382"/>
      <c r="AS5" s="382"/>
      <c r="AT5" s="382"/>
      <c r="AU5" s="382"/>
      <c r="AV5" s="382"/>
      <c r="AW5" s="382"/>
      <c r="AX5" s="382"/>
      <c r="AY5" s="382"/>
      <c r="AZ5" s="382"/>
      <c r="BA5" s="382"/>
      <c r="BB5" s="382"/>
      <c r="BC5" s="382"/>
      <c r="BD5" s="382"/>
      <c r="BE5" s="382"/>
    </row>
    <row r="6" spans="3:57">
      <c r="C6" s="585"/>
      <c r="D6" s="585"/>
      <c r="E6" s="585"/>
      <c r="F6" s="585"/>
      <c r="M6" s="342"/>
      <c r="N6" s="382"/>
      <c r="O6" s="382" t="s">
        <v>534</v>
      </c>
      <c r="P6" s="343">
        <v>29075</v>
      </c>
      <c r="Q6" s="343">
        <v>70431</v>
      </c>
      <c r="R6" s="343">
        <v>72620</v>
      </c>
      <c r="S6" s="343">
        <v>48532</v>
      </c>
      <c r="T6" s="343">
        <v>71181</v>
      </c>
      <c r="U6" s="343">
        <v>31628</v>
      </c>
      <c r="V6" s="343">
        <v>35129</v>
      </c>
      <c r="W6" s="343">
        <v>38677</v>
      </c>
      <c r="X6" s="343">
        <v>62787</v>
      </c>
      <c r="Y6" s="343">
        <v>45116</v>
      </c>
      <c r="Z6" s="343">
        <v>505176</v>
      </c>
      <c r="AA6" s="382"/>
      <c r="AB6" s="382" t="s">
        <v>534</v>
      </c>
      <c r="AC6" s="469">
        <f>SUM(P6:T6)</f>
        <v>291839</v>
      </c>
      <c r="AD6" s="469">
        <f>SUM(U6:Y6)</f>
        <v>213337</v>
      </c>
      <c r="AE6" s="382"/>
      <c r="AF6" s="382"/>
      <c r="AG6" s="382"/>
      <c r="AH6" s="512" t="s">
        <v>60</v>
      </c>
      <c r="AI6" s="469">
        <v>282538507.74000001</v>
      </c>
      <c r="AJ6" s="469">
        <v>287779874.83000004</v>
      </c>
      <c r="AK6" s="382"/>
      <c r="AL6" s="512" t="s">
        <v>60</v>
      </c>
      <c r="AM6" s="469">
        <v>282538507.74000001</v>
      </c>
      <c r="AN6" s="469">
        <v>287779874.83000004</v>
      </c>
      <c r="AO6" s="382"/>
      <c r="AP6" s="382" t="s">
        <v>402</v>
      </c>
      <c r="AQ6" s="382" t="s">
        <v>428</v>
      </c>
      <c r="AR6" s="382"/>
      <c r="AS6" s="382"/>
      <c r="AT6" s="382"/>
      <c r="AU6" s="382"/>
      <c r="AV6" s="382"/>
      <c r="AW6" s="382"/>
      <c r="AX6" s="382"/>
      <c r="AY6" s="382"/>
      <c r="AZ6" s="382"/>
      <c r="BA6" s="382"/>
      <c r="BB6" s="382"/>
      <c r="BC6" s="382"/>
      <c r="BD6" s="382"/>
      <c r="BE6" s="382"/>
    </row>
    <row r="7" spans="3:57">
      <c r="C7" s="586" t="s">
        <v>535</v>
      </c>
      <c r="D7" s="586"/>
      <c r="E7" s="586"/>
      <c r="F7" s="586"/>
      <c r="M7" s="342"/>
      <c r="N7" s="382"/>
      <c r="O7" s="382" t="s">
        <v>57</v>
      </c>
      <c r="P7" s="343">
        <v>13243163.040000001</v>
      </c>
      <c r="Q7" s="343">
        <v>16493064.91</v>
      </c>
      <c r="R7" s="343">
        <v>26556495.510000005</v>
      </c>
      <c r="S7" s="343">
        <v>26135725.070000004</v>
      </c>
      <c r="T7" s="343">
        <v>22114813.98</v>
      </c>
      <c r="U7" s="343">
        <v>14228105.489999998</v>
      </c>
      <c r="V7" s="343">
        <v>16416381.719999999</v>
      </c>
      <c r="W7" s="343">
        <v>17303678.509999998</v>
      </c>
      <c r="X7" s="343">
        <v>17728729.489999998</v>
      </c>
      <c r="Y7" s="343">
        <v>20322917.09</v>
      </c>
      <c r="Z7" s="343">
        <v>190543074.80999991</v>
      </c>
      <c r="AA7" s="382"/>
      <c r="AB7" s="382" t="s">
        <v>57</v>
      </c>
      <c r="AC7" s="469">
        <f t="shared" ref="AC7:AC31" si="0">SUM(P7:T7)</f>
        <v>104543262.51000002</v>
      </c>
      <c r="AD7" s="469">
        <f>SUM(U7:Y7)+AI39</f>
        <v>86263812.299999997</v>
      </c>
      <c r="AE7" s="382"/>
      <c r="AF7" s="382"/>
      <c r="AG7" s="382"/>
      <c r="AH7" s="512" t="s">
        <v>58</v>
      </c>
      <c r="AI7" s="469">
        <v>160759297.09000003</v>
      </c>
      <c r="AJ7" s="469">
        <v>237801498.47</v>
      </c>
      <c r="AK7" s="382"/>
      <c r="AL7" s="512" t="s">
        <v>58</v>
      </c>
      <c r="AM7" s="469">
        <v>160759297.09000003</v>
      </c>
      <c r="AN7" s="469">
        <v>237801498.47</v>
      </c>
      <c r="AO7" s="382"/>
      <c r="AP7" s="382" t="s">
        <v>530</v>
      </c>
      <c r="AQ7" s="382" t="s">
        <v>429</v>
      </c>
      <c r="AR7" s="382" t="s">
        <v>430</v>
      </c>
      <c r="AS7" s="382" t="s">
        <v>431</v>
      </c>
      <c r="AT7" s="382" t="s">
        <v>432</v>
      </c>
      <c r="AU7" s="382" t="s">
        <v>719</v>
      </c>
      <c r="AV7" s="382" t="s">
        <v>433</v>
      </c>
      <c r="AW7" s="382" t="s">
        <v>434</v>
      </c>
      <c r="AX7" s="382" t="s">
        <v>435</v>
      </c>
      <c r="AY7" s="382" t="s">
        <v>436</v>
      </c>
      <c r="AZ7" s="382" t="s">
        <v>705</v>
      </c>
      <c r="BA7" s="383" t="s">
        <v>407</v>
      </c>
      <c r="BB7" s="382"/>
      <c r="BC7" s="382" t="s">
        <v>530</v>
      </c>
      <c r="BD7" s="535">
        <v>2016</v>
      </c>
      <c r="BE7" s="535">
        <v>2017</v>
      </c>
    </row>
    <row r="8" spans="3:57" ht="15.75" thickBot="1">
      <c r="D8" s="342"/>
      <c r="E8" s="342"/>
      <c r="F8" s="342"/>
      <c r="M8" s="342"/>
      <c r="N8" s="382"/>
      <c r="O8" s="382" t="s">
        <v>217</v>
      </c>
      <c r="P8" s="343">
        <v>64567772.109999999</v>
      </c>
      <c r="Q8" s="343">
        <v>19140150.740000002</v>
      </c>
      <c r="R8" s="343">
        <v>25687143.369999997</v>
      </c>
      <c r="S8" s="343">
        <v>23781550.740000002</v>
      </c>
      <c r="T8" s="343">
        <v>25780508.07</v>
      </c>
      <c r="U8" s="343">
        <v>9536955.9100000001</v>
      </c>
      <c r="V8" s="343">
        <v>15858290.800000001</v>
      </c>
      <c r="W8" s="343">
        <v>11640456.48</v>
      </c>
      <c r="X8" s="343">
        <v>6018309.8200000003</v>
      </c>
      <c r="Y8" s="343">
        <v>13152903.970000001</v>
      </c>
      <c r="Z8" s="343">
        <v>215164042.00999996</v>
      </c>
      <c r="AA8" s="382"/>
      <c r="AB8" s="382" t="s">
        <v>217</v>
      </c>
      <c r="AC8" s="469">
        <f t="shared" si="0"/>
        <v>158957125.03</v>
      </c>
      <c r="AD8" s="469">
        <f>SUM(U8:Y8)+AI45</f>
        <v>56540886.979999997</v>
      </c>
      <c r="AE8" s="382"/>
      <c r="AF8" s="382"/>
      <c r="AG8" s="382"/>
      <c r="AH8" s="512" t="s">
        <v>70</v>
      </c>
      <c r="AI8" s="469">
        <v>200941444.95999998</v>
      </c>
      <c r="AJ8" s="469">
        <v>224690250.30000001</v>
      </c>
      <c r="AK8" s="382"/>
      <c r="AL8" s="512" t="s">
        <v>70</v>
      </c>
      <c r="AM8" s="469">
        <v>200941444.95999998</v>
      </c>
      <c r="AN8" s="469">
        <v>224690250.30000001</v>
      </c>
      <c r="AO8" s="382"/>
      <c r="AP8" s="382" t="s">
        <v>534</v>
      </c>
      <c r="AQ8" s="343">
        <v>29075</v>
      </c>
      <c r="AR8" s="343">
        <v>70431</v>
      </c>
      <c r="AS8" s="343">
        <v>72620</v>
      </c>
      <c r="AT8" s="343">
        <v>48532</v>
      </c>
      <c r="AU8" s="343">
        <v>71181</v>
      </c>
      <c r="AV8" s="343">
        <v>31628</v>
      </c>
      <c r="AW8" s="343">
        <v>35129</v>
      </c>
      <c r="AX8" s="343">
        <v>38677</v>
      </c>
      <c r="AY8" s="343">
        <v>62787</v>
      </c>
      <c r="AZ8" s="343">
        <v>45116</v>
      </c>
      <c r="BA8" s="343">
        <v>505176</v>
      </c>
      <c r="BB8" s="382"/>
      <c r="BC8" s="382" t="s">
        <v>534</v>
      </c>
      <c r="BD8" s="469">
        <f>SUM(AQ8:AU8)</f>
        <v>291839</v>
      </c>
      <c r="BE8" s="469">
        <f>SUM(AV8:AZ8)</f>
        <v>213337</v>
      </c>
    </row>
    <row r="9" spans="3:57" ht="16.5" thickTop="1" thickBot="1">
      <c r="C9" s="425" t="s">
        <v>530</v>
      </c>
      <c r="D9" s="426">
        <v>2016</v>
      </c>
      <c r="E9" s="426">
        <v>2017</v>
      </c>
      <c r="F9" s="425" t="s">
        <v>536</v>
      </c>
      <c r="M9" s="342"/>
      <c r="N9" s="536"/>
      <c r="O9" s="382" t="s">
        <v>58</v>
      </c>
      <c r="P9" s="343">
        <v>60440074.18</v>
      </c>
      <c r="Q9" s="343">
        <v>13438862.729999999</v>
      </c>
      <c r="R9" s="343">
        <v>40752203.140000008</v>
      </c>
      <c r="S9" s="343">
        <v>6847594.6800000025</v>
      </c>
      <c r="T9" s="343">
        <v>39277924.360000007</v>
      </c>
      <c r="U9" s="343">
        <v>46687495.279999994</v>
      </c>
      <c r="V9" s="343">
        <v>34413534.280000001</v>
      </c>
      <c r="W9" s="343">
        <v>47720745.619999997</v>
      </c>
      <c r="X9" s="343">
        <v>52213983.169999994</v>
      </c>
      <c r="Y9" s="343">
        <v>56765740.119999997</v>
      </c>
      <c r="Z9" s="343">
        <v>398558157.55999982</v>
      </c>
      <c r="AA9" s="382"/>
      <c r="AB9" s="382" t="s">
        <v>58</v>
      </c>
      <c r="AC9" s="469">
        <f>SUM(P9:T9)+AH48</f>
        <v>160759297.09000003</v>
      </c>
      <c r="AD9" s="469">
        <f t="shared" ref="AD9:AD31" si="1">SUM(U9:Y9)</f>
        <v>237801498.47</v>
      </c>
      <c r="AE9" s="382"/>
      <c r="AF9" s="382"/>
      <c r="AG9" s="382"/>
      <c r="AH9" s="512" t="s">
        <v>61</v>
      </c>
      <c r="AI9" s="469">
        <v>156168258</v>
      </c>
      <c r="AJ9" s="469">
        <v>113372857.31999999</v>
      </c>
      <c r="AK9" s="382"/>
      <c r="AL9" s="512" t="s">
        <v>61</v>
      </c>
      <c r="AM9" s="469">
        <v>156168258</v>
      </c>
      <c r="AN9" s="469">
        <v>113372857.31999999</v>
      </c>
      <c r="AO9" s="382"/>
      <c r="AP9" s="382" t="s">
        <v>57</v>
      </c>
      <c r="AQ9" s="343">
        <v>13243163.040000001</v>
      </c>
      <c r="AR9" s="343">
        <v>16493064.91</v>
      </c>
      <c r="AS9" s="343">
        <v>26556495.510000005</v>
      </c>
      <c r="AT9" s="343">
        <v>26135725.070000004</v>
      </c>
      <c r="AU9" s="343">
        <v>22114813.98</v>
      </c>
      <c r="AV9" s="343">
        <v>14228105.489999998</v>
      </c>
      <c r="AW9" s="343">
        <v>16416381.719999999</v>
      </c>
      <c r="AX9" s="343">
        <v>17303678.509999998</v>
      </c>
      <c r="AY9" s="343">
        <v>17728729.489999998</v>
      </c>
      <c r="AZ9" s="343">
        <v>20322917.09</v>
      </c>
      <c r="BA9" s="343">
        <v>190543074.80999991</v>
      </c>
      <c r="BB9" s="382"/>
      <c r="BC9" s="382" t="s">
        <v>57</v>
      </c>
      <c r="BD9" s="469">
        <f t="shared" ref="BD9:BD31" si="2">SUM(AQ9:AU9)</f>
        <v>104543262.51000002</v>
      </c>
      <c r="BE9" s="469">
        <f t="shared" ref="BE9:BE31" si="3">SUM(AV9:AZ9)</f>
        <v>85999812.299999997</v>
      </c>
    </row>
    <row r="10" spans="3:57" ht="16.5" thickTop="1" thickBot="1">
      <c r="C10" s="427" t="s">
        <v>60</v>
      </c>
      <c r="D10" s="369">
        <v>282.53850774</v>
      </c>
      <c r="E10" s="364">
        <v>287.77987483000004</v>
      </c>
      <c r="F10" s="429">
        <f t="shared" ref="F10:F34" si="4">+E10/D10-1</f>
        <v>1.8550983127663789E-2</v>
      </c>
      <c r="M10" s="342"/>
      <c r="N10" s="382"/>
      <c r="O10" s="382" t="s">
        <v>71</v>
      </c>
      <c r="P10" s="343">
        <v>3882894.35</v>
      </c>
      <c r="Q10" s="343">
        <v>4859203.3100000005</v>
      </c>
      <c r="R10" s="343">
        <v>5363348.74</v>
      </c>
      <c r="S10" s="343">
        <v>5683114.54</v>
      </c>
      <c r="T10" s="343">
        <v>6115488.7700000014</v>
      </c>
      <c r="U10" s="343">
        <v>3411846.2700000005</v>
      </c>
      <c r="V10" s="343">
        <v>4646191.97</v>
      </c>
      <c r="W10" s="343">
        <v>6657309.5500000007</v>
      </c>
      <c r="X10" s="343">
        <v>5381223.5</v>
      </c>
      <c r="Y10" s="343">
        <v>6385222.6200000001</v>
      </c>
      <c r="Z10" s="343">
        <v>52385843.620000035</v>
      </c>
      <c r="AA10" s="382"/>
      <c r="AB10" s="382" t="s">
        <v>71</v>
      </c>
      <c r="AC10" s="469">
        <f t="shared" si="0"/>
        <v>25904049.710000001</v>
      </c>
      <c r="AD10" s="469">
        <f t="shared" si="1"/>
        <v>26481793.91</v>
      </c>
      <c r="AE10" s="382"/>
      <c r="AF10" s="382"/>
      <c r="AG10" s="382"/>
      <c r="AH10" s="512" t="s">
        <v>66</v>
      </c>
      <c r="AI10" s="469">
        <v>91592837.180000007</v>
      </c>
      <c r="AJ10" s="469">
        <v>96619023.000000015</v>
      </c>
      <c r="AK10" s="382"/>
      <c r="AL10" s="512" t="s">
        <v>66</v>
      </c>
      <c r="AM10" s="469">
        <v>91592837.180000007</v>
      </c>
      <c r="AN10" s="469">
        <v>96619023.000000015</v>
      </c>
      <c r="AO10" s="382"/>
      <c r="AP10" s="382" t="s">
        <v>217</v>
      </c>
      <c r="AQ10" s="343">
        <v>64567772.109999999</v>
      </c>
      <c r="AR10" s="343">
        <v>19140150.740000002</v>
      </c>
      <c r="AS10" s="343">
        <v>25687143.369999997</v>
      </c>
      <c r="AT10" s="343">
        <v>23781550.740000002</v>
      </c>
      <c r="AU10" s="343">
        <v>25780508.07</v>
      </c>
      <c r="AV10" s="343">
        <v>9536955.9100000001</v>
      </c>
      <c r="AW10" s="343">
        <v>15858290.800000001</v>
      </c>
      <c r="AX10" s="343">
        <v>11640456.48</v>
      </c>
      <c r="AY10" s="343">
        <v>6018309.8200000003</v>
      </c>
      <c r="AZ10" s="343">
        <v>13152903.970000001</v>
      </c>
      <c r="BA10" s="343">
        <v>215164042.00999996</v>
      </c>
      <c r="BB10" s="382"/>
      <c r="BC10" s="382" t="s">
        <v>217</v>
      </c>
      <c r="BD10" s="469">
        <f t="shared" si="2"/>
        <v>158957125.03</v>
      </c>
      <c r="BE10" s="469">
        <f t="shared" si="3"/>
        <v>56206916.979999997</v>
      </c>
    </row>
    <row r="11" spans="3:57" ht="16.5" thickTop="1" thickBot="1">
      <c r="C11" s="428" t="s">
        <v>58</v>
      </c>
      <c r="D11" s="369">
        <v>160.75929708999999</v>
      </c>
      <c r="E11" s="364">
        <v>237.80149847000001</v>
      </c>
      <c r="F11" s="429">
        <f t="shared" si="4"/>
        <v>0.47923947650050036</v>
      </c>
      <c r="M11" s="342"/>
      <c r="N11" s="382"/>
      <c r="O11" s="382" t="s">
        <v>64</v>
      </c>
      <c r="P11" s="343">
        <v>15475618.52</v>
      </c>
      <c r="Q11" s="343">
        <v>14240458.620000001</v>
      </c>
      <c r="R11" s="343">
        <v>15929001.960000001</v>
      </c>
      <c r="S11" s="343">
        <v>16457001.880000001</v>
      </c>
      <c r="T11" s="343">
        <v>21454673.359999999</v>
      </c>
      <c r="U11" s="343">
        <v>13358033.83</v>
      </c>
      <c r="V11" s="343">
        <v>16187726.75</v>
      </c>
      <c r="W11" s="343">
        <v>15426146.539999999</v>
      </c>
      <c r="X11" s="343">
        <v>16489137.539999999</v>
      </c>
      <c r="Y11" s="343">
        <v>19679334.649999999</v>
      </c>
      <c r="Z11" s="343">
        <v>164697133.65000004</v>
      </c>
      <c r="AA11" s="382"/>
      <c r="AB11" s="382" t="s">
        <v>64</v>
      </c>
      <c r="AC11" s="469">
        <f t="shared" si="0"/>
        <v>83556754.340000004</v>
      </c>
      <c r="AD11" s="469">
        <f t="shared" si="1"/>
        <v>81140379.310000002</v>
      </c>
      <c r="AE11" s="382"/>
      <c r="AF11" s="382"/>
      <c r="AG11" s="382"/>
      <c r="AH11" s="512" t="s">
        <v>59</v>
      </c>
      <c r="AI11" s="469">
        <v>117647524.60999998</v>
      </c>
      <c r="AJ11" s="469">
        <v>90503795.420000002</v>
      </c>
      <c r="AK11" s="382"/>
      <c r="AL11" s="512" t="s">
        <v>59</v>
      </c>
      <c r="AM11" s="469">
        <v>117647524.60999998</v>
      </c>
      <c r="AN11" s="469">
        <v>90503795.420000002</v>
      </c>
      <c r="AO11" s="382"/>
      <c r="AP11" s="382" t="s">
        <v>58</v>
      </c>
      <c r="AQ11" s="343">
        <v>60440074.18</v>
      </c>
      <c r="AR11" s="343">
        <v>13438862.729999999</v>
      </c>
      <c r="AS11" s="343">
        <v>40752203.140000008</v>
      </c>
      <c r="AT11" s="343">
        <v>6847594.6800000025</v>
      </c>
      <c r="AU11" s="343">
        <v>39277924.360000007</v>
      </c>
      <c r="AV11" s="343">
        <v>46687495.279999994</v>
      </c>
      <c r="AW11" s="343">
        <v>34413534.280000001</v>
      </c>
      <c r="AX11" s="343">
        <v>47720745.619999997</v>
      </c>
      <c r="AY11" s="343">
        <v>52213983.169999994</v>
      </c>
      <c r="AZ11" s="343">
        <v>56765740.119999997</v>
      </c>
      <c r="BA11" s="343">
        <v>398558157.55999982</v>
      </c>
      <c r="BB11" s="382"/>
      <c r="BC11" s="382" t="s">
        <v>58</v>
      </c>
      <c r="BD11" s="469">
        <f t="shared" si="2"/>
        <v>160756659.09000003</v>
      </c>
      <c r="BE11" s="469">
        <f t="shared" si="3"/>
        <v>237801498.47</v>
      </c>
    </row>
    <row r="12" spans="3:57" ht="16.5" thickTop="1" thickBot="1">
      <c r="C12" s="428" t="s">
        <v>70</v>
      </c>
      <c r="D12" s="346">
        <v>200.94144495999998</v>
      </c>
      <c r="E12" s="364">
        <v>224.6902503</v>
      </c>
      <c r="F12" s="429">
        <f t="shared" si="4"/>
        <v>0.11818769067141699</v>
      </c>
      <c r="M12" s="342"/>
      <c r="N12" s="382"/>
      <c r="O12" s="382" t="s">
        <v>537</v>
      </c>
      <c r="P12" s="343">
        <v>77500</v>
      </c>
      <c r="Q12" s="343">
        <v>69000</v>
      </c>
      <c r="R12" s="343">
        <v>87000</v>
      </c>
      <c r="S12" s="343">
        <v>99000</v>
      </c>
      <c r="T12" s="343">
        <v>84500</v>
      </c>
      <c r="U12" s="343">
        <v>42200</v>
      </c>
      <c r="V12" s="343">
        <v>27800</v>
      </c>
      <c r="W12" s="343">
        <v>28800</v>
      </c>
      <c r="X12" s="343">
        <v>29200</v>
      </c>
      <c r="Y12" s="343">
        <v>23100</v>
      </c>
      <c r="Z12" s="343">
        <v>568100</v>
      </c>
      <c r="AA12" s="382"/>
      <c r="AB12" s="382" t="s">
        <v>537</v>
      </c>
      <c r="AC12" s="469">
        <f t="shared" si="0"/>
        <v>417000</v>
      </c>
      <c r="AD12" s="469">
        <f t="shared" si="1"/>
        <v>151100</v>
      </c>
      <c r="AE12" s="382"/>
      <c r="AF12" s="382"/>
      <c r="AG12" s="382"/>
      <c r="AH12" s="512" t="s">
        <v>57</v>
      </c>
      <c r="AI12" s="469">
        <v>104543262.51000002</v>
      </c>
      <c r="AJ12" s="469">
        <v>86263812.299999997</v>
      </c>
      <c r="AK12" s="382"/>
      <c r="AL12" s="512" t="s">
        <v>57</v>
      </c>
      <c r="AM12" s="469">
        <v>104543262.51000002</v>
      </c>
      <c r="AN12" s="469">
        <v>86263812.299999997</v>
      </c>
      <c r="AO12" s="382"/>
      <c r="AP12" s="382" t="s">
        <v>71</v>
      </c>
      <c r="AQ12" s="343">
        <v>3882894.35</v>
      </c>
      <c r="AR12" s="343">
        <v>4859203.3100000005</v>
      </c>
      <c r="AS12" s="343">
        <v>5363348.74</v>
      </c>
      <c r="AT12" s="343">
        <v>5683114.54</v>
      </c>
      <c r="AU12" s="343">
        <v>6115488.7700000014</v>
      </c>
      <c r="AV12" s="343">
        <v>3411846.2700000005</v>
      </c>
      <c r="AW12" s="343">
        <v>4646191.97</v>
      </c>
      <c r="AX12" s="343">
        <v>6657309.5500000007</v>
      </c>
      <c r="AY12" s="343">
        <v>5381223.5</v>
      </c>
      <c r="AZ12" s="343">
        <v>6385222.6200000001</v>
      </c>
      <c r="BA12" s="343">
        <v>52385843.620000035</v>
      </c>
      <c r="BB12" s="382"/>
      <c r="BC12" s="382" t="s">
        <v>71</v>
      </c>
      <c r="BD12" s="469">
        <f t="shared" si="2"/>
        <v>25904049.710000001</v>
      </c>
      <c r="BE12" s="469">
        <f t="shared" si="3"/>
        <v>26481793.91</v>
      </c>
    </row>
    <row r="13" spans="3:57" ht="16.5" thickTop="1" thickBot="1">
      <c r="C13" s="428" t="s">
        <v>61</v>
      </c>
      <c r="D13" s="346">
        <v>156.16825800000001</v>
      </c>
      <c r="E13" s="364">
        <v>113.37285731999999</v>
      </c>
      <c r="F13" s="430">
        <f t="shared" si="4"/>
        <v>-0.27403392487095557</v>
      </c>
      <c r="M13" s="342"/>
      <c r="N13" s="382"/>
      <c r="O13" s="382" t="s">
        <v>60</v>
      </c>
      <c r="P13" s="343">
        <v>65005673.619999997</v>
      </c>
      <c r="Q13" s="343">
        <v>53536373.909999996</v>
      </c>
      <c r="R13" s="343">
        <v>58884232.149999999</v>
      </c>
      <c r="S13" s="343">
        <v>52955624.349999994</v>
      </c>
      <c r="T13" s="343">
        <v>52156603.710000001</v>
      </c>
      <c r="U13" s="343">
        <v>91789953.020000011</v>
      </c>
      <c r="V13" s="343">
        <v>36690104.890000001</v>
      </c>
      <c r="W13" s="343">
        <v>38391818.399999999</v>
      </c>
      <c r="X13" s="343">
        <v>46070418.330000006</v>
      </c>
      <c r="Y13" s="343">
        <v>74837580.189999998</v>
      </c>
      <c r="Z13" s="343">
        <v>570318382.56999993</v>
      </c>
      <c r="AA13" s="382"/>
      <c r="AB13" s="382" t="s">
        <v>60</v>
      </c>
      <c r="AC13" s="469">
        <f t="shared" si="0"/>
        <v>282538507.74000001</v>
      </c>
      <c r="AD13" s="469">
        <f t="shared" si="1"/>
        <v>287779874.83000004</v>
      </c>
      <c r="AE13" s="382"/>
      <c r="AF13" s="382"/>
      <c r="AG13" s="382"/>
      <c r="AH13" s="512" t="s">
        <v>64</v>
      </c>
      <c r="AI13" s="469">
        <v>83556754.340000004</v>
      </c>
      <c r="AJ13" s="469">
        <v>81140379.310000002</v>
      </c>
      <c r="AK13" s="382"/>
      <c r="AL13" s="512" t="s">
        <v>64</v>
      </c>
      <c r="AM13" s="469">
        <v>83556754.340000004</v>
      </c>
      <c r="AN13" s="469">
        <v>81140379.310000002</v>
      </c>
      <c r="AO13" s="382"/>
      <c r="AP13" s="382" t="s">
        <v>64</v>
      </c>
      <c r="AQ13" s="343">
        <v>15475618.52</v>
      </c>
      <c r="AR13" s="343">
        <v>14240458.620000001</v>
      </c>
      <c r="AS13" s="343">
        <v>15929001.960000001</v>
      </c>
      <c r="AT13" s="343">
        <v>16457001.880000001</v>
      </c>
      <c r="AU13" s="343">
        <v>21454673.359999999</v>
      </c>
      <c r="AV13" s="343">
        <v>13358033.83</v>
      </c>
      <c r="AW13" s="343">
        <v>16187726.75</v>
      </c>
      <c r="AX13" s="343">
        <v>15426146.539999999</v>
      </c>
      <c r="AY13" s="343">
        <v>16489137.539999999</v>
      </c>
      <c r="AZ13" s="343">
        <v>19679334.649999999</v>
      </c>
      <c r="BA13" s="343">
        <v>164697133.65000004</v>
      </c>
      <c r="BB13" s="382"/>
      <c r="BC13" s="382" t="s">
        <v>64</v>
      </c>
      <c r="BD13" s="469">
        <f t="shared" si="2"/>
        <v>83556754.340000004</v>
      </c>
      <c r="BE13" s="469">
        <f t="shared" si="3"/>
        <v>81140379.310000002</v>
      </c>
    </row>
    <row r="14" spans="3:57" ht="16.5" thickTop="1" thickBot="1">
      <c r="C14" s="428" t="s">
        <v>66</v>
      </c>
      <c r="D14" s="346">
        <v>91.592837180000004</v>
      </c>
      <c r="E14" s="364">
        <v>96.619023000000013</v>
      </c>
      <c r="F14" s="429">
        <f t="shared" si="4"/>
        <v>5.4875315305742189E-2</v>
      </c>
      <c r="M14" s="342"/>
      <c r="N14" s="382"/>
      <c r="O14" s="382" t="s">
        <v>67</v>
      </c>
      <c r="P14" s="343">
        <v>3255691.81</v>
      </c>
      <c r="Q14" s="343">
        <v>2493403</v>
      </c>
      <c r="R14" s="343">
        <v>3355002.9899999993</v>
      </c>
      <c r="S14" s="343">
        <v>3076565.75</v>
      </c>
      <c r="T14" s="343">
        <v>2667519.61</v>
      </c>
      <c r="U14" s="343">
        <v>2909164.47</v>
      </c>
      <c r="V14" s="343">
        <v>3016449.5300000003</v>
      </c>
      <c r="W14" s="343">
        <v>3091881.99</v>
      </c>
      <c r="X14" s="343">
        <v>3689229.58</v>
      </c>
      <c r="Y14" s="343">
        <v>3002554.72</v>
      </c>
      <c r="Z14" s="343">
        <v>30557463.449999996</v>
      </c>
      <c r="AA14" s="382"/>
      <c r="AB14" s="382" t="s">
        <v>67</v>
      </c>
      <c r="AC14" s="469">
        <f t="shared" si="0"/>
        <v>14848183.16</v>
      </c>
      <c r="AD14" s="469">
        <f t="shared" si="1"/>
        <v>15709280.290000001</v>
      </c>
      <c r="AE14" s="382"/>
      <c r="AF14" s="382"/>
      <c r="AG14" s="382"/>
      <c r="AH14" s="512" t="s">
        <v>65</v>
      </c>
      <c r="AI14" s="469">
        <v>72162353.539999992</v>
      </c>
      <c r="AJ14" s="469">
        <v>71672863.909999996</v>
      </c>
      <c r="AK14" s="382"/>
      <c r="AL14" s="512" t="s">
        <v>65</v>
      </c>
      <c r="AM14" s="469">
        <v>72162353.539999992</v>
      </c>
      <c r="AN14" s="469">
        <v>71672863.909999996</v>
      </c>
      <c r="AO14" s="382"/>
      <c r="AP14" s="382" t="s">
        <v>537</v>
      </c>
      <c r="AQ14" s="343">
        <v>77500</v>
      </c>
      <c r="AR14" s="343">
        <v>69000</v>
      </c>
      <c r="AS14" s="343">
        <v>87000</v>
      </c>
      <c r="AT14" s="343">
        <v>99000</v>
      </c>
      <c r="AU14" s="343">
        <v>84500</v>
      </c>
      <c r="AV14" s="343">
        <v>42200</v>
      </c>
      <c r="AW14" s="343">
        <v>27800</v>
      </c>
      <c r="AX14" s="343">
        <v>28800</v>
      </c>
      <c r="AY14" s="343">
        <v>29200</v>
      </c>
      <c r="AZ14" s="343">
        <v>23100</v>
      </c>
      <c r="BA14" s="343">
        <v>568100</v>
      </c>
      <c r="BB14" s="382"/>
      <c r="BC14" s="382" t="s">
        <v>537</v>
      </c>
      <c r="BD14" s="469">
        <f t="shared" si="2"/>
        <v>417000</v>
      </c>
      <c r="BE14" s="469">
        <f t="shared" si="3"/>
        <v>151100</v>
      </c>
    </row>
    <row r="15" spans="3:57" ht="16.5" thickTop="1" thickBot="1">
      <c r="C15" s="428" t="s">
        <v>59</v>
      </c>
      <c r="D15" s="346">
        <v>117.64752460999999</v>
      </c>
      <c r="E15" s="364">
        <v>90.503795420000003</v>
      </c>
      <c r="F15" s="430">
        <f t="shared" si="4"/>
        <v>-0.23072078464873014</v>
      </c>
      <c r="M15" s="342"/>
      <c r="N15" s="382"/>
      <c r="O15" s="382" t="s">
        <v>69</v>
      </c>
      <c r="P15" s="343">
        <v>2048003.8699999999</v>
      </c>
      <c r="Q15" s="343">
        <v>145115.07</v>
      </c>
      <c r="R15" s="343">
        <v>3400057.73</v>
      </c>
      <c r="S15" s="343">
        <v>2750158.2500000005</v>
      </c>
      <c r="T15" s="343">
        <v>3615363.55</v>
      </c>
      <c r="U15" s="343">
        <v>622121.08000000007</v>
      </c>
      <c r="V15" s="343">
        <v>2249731.33</v>
      </c>
      <c r="W15" s="343">
        <v>2191337.7600000002</v>
      </c>
      <c r="X15" s="343">
        <v>2302647.92</v>
      </c>
      <c r="Y15" s="343">
        <v>4896704.68</v>
      </c>
      <c r="Z15" s="343">
        <v>24221241.240000002</v>
      </c>
      <c r="AA15" s="382"/>
      <c r="AB15" s="382" t="s">
        <v>69</v>
      </c>
      <c r="AC15" s="469">
        <f t="shared" si="0"/>
        <v>11958698.469999999</v>
      </c>
      <c r="AD15" s="469">
        <f t="shared" si="1"/>
        <v>12262542.77</v>
      </c>
      <c r="AE15" s="382"/>
      <c r="AF15" s="382"/>
      <c r="AG15" s="382"/>
      <c r="AH15" s="512" t="s">
        <v>62</v>
      </c>
      <c r="AI15" s="469">
        <v>44399813.890000001</v>
      </c>
      <c r="AJ15" s="469">
        <v>57433951.340000004</v>
      </c>
      <c r="AK15" s="382"/>
      <c r="AL15" s="512" t="s">
        <v>62</v>
      </c>
      <c r="AM15" s="469">
        <v>44399813.890000001</v>
      </c>
      <c r="AN15" s="469">
        <v>57433951.340000004</v>
      </c>
      <c r="AO15" s="382"/>
      <c r="AP15" s="382" t="s">
        <v>60</v>
      </c>
      <c r="AQ15" s="343">
        <v>65005673.619999997</v>
      </c>
      <c r="AR15" s="343">
        <v>53536373.909999996</v>
      </c>
      <c r="AS15" s="343">
        <v>58884232.149999999</v>
      </c>
      <c r="AT15" s="343">
        <v>52955624.349999994</v>
      </c>
      <c r="AU15" s="343">
        <v>52156603.710000001</v>
      </c>
      <c r="AV15" s="343">
        <v>91789953.020000011</v>
      </c>
      <c r="AW15" s="343">
        <v>36690104.890000001</v>
      </c>
      <c r="AX15" s="343">
        <v>38391818.399999999</v>
      </c>
      <c r="AY15" s="343">
        <v>46070418.330000006</v>
      </c>
      <c r="AZ15" s="343">
        <v>74837580.189999998</v>
      </c>
      <c r="BA15" s="343">
        <v>570318382.56999993</v>
      </c>
      <c r="BB15" s="382"/>
      <c r="BC15" s="382" t="s">
        <v>60</v>
      </c>
      <c r="BD15" s="469">
        <f t="shared" si="2"/>
        <v>282538507.74000001</v>
      </c>
      <c r="BE15" s="469">
        <f t="shared" si="3"/>
        <v>287779874.83000004</v>
      </c>
    </row>
    <row r="16" spans="3:57" ht="16.5" thickTop="1" thickBot="1">
      <c r="C16" s="428" t="s">
        <v>57</v>
      </c>
      <c r="D16" s="346">
        <v>104.54326251000002</v>
      </c>
      <c r="E16" s="364">
        <v>86.263812299999998</v>
      </c>
      <c r="F16" s="430">
        <f t="shared" si="4"/>
        <v>-0.17485058119600494</v>
      </c>
      <c r="M16" s="342"/>
      <c r="N16" s="382"/>
      <c r="O16" s="382" t="s">
        <v>63</v>
      </c>
      <c r="P16" s="343">
        <v>3354200.67</v>
      </c>
      <c r="Q16" s="343">
        <v>20255915.619999997</v>
      </c>
      <c r="R16" s="343">
        <v>14768688.310000001</v>
      </c>
      <c r="S16" s="343">
        <v>17487298.68</v>
      </c>
      <c r="T16" s="343">
        <v>19458613.330000002</v>
      </c>
      <c r="U16" s="343">
        <v>3979575.6999999993</v>
      </c>
      <c r="V16" s="343">
        <v>7171212.6900000004</v>
      </c>
      <c r="W16" s="343">
        <v>11517449</v>
      </c>
      <c r="X16" s="343">
        <v>7698680.3500000006</v>
      </c>
      <c r="Y16" s="343">
        <v>26906465.559999999</v>
      </c>
      <c r="Z16" s="343">
        <v>132598099.91000003</v>
      </c>
      <c r="AA16" s="382"/>
      <c r="AB16" s="382" t="s">
        <v>63</v>
      </c>
      <c r="AC16" s="469">
        <f t="shared" si="0"/>
        <v>75324716.609999999</v>
      </c>
      <c r="AD16" s="469">
        <f t="shared" si="1"/>
        <v>57273383.299999997</v>
      </c>
      <c r="AE16" s="382"/>
      <c r="AF16" s="382"/>
      <c r="AG16" s="382"/>
      <c r="AH16" s="512" t="s">
        <v>63</v>
      </c>
      <c r="AI16" s="469">
        <v>75324716.609999999</v>
      </c>
      <c r="AJ16" s="469">
        <v>57273383.299999997</v>
      </c>
      <c r="AK16" s="382"/>
      <c r="AL16" s="512" t="s">
        <v>63</v>
      </c>
      <c r="AM16" s="469">
        <v>75324716.609999999</v>
      </c>
      <c r="AN16" s="469">
        <v>57273383.299999997</v>
      </c>
      <c r="AO16" s="382"/>
      <c r="AP16" s="382" t="s">
        <v>67</v>
      </c>
      <c r="AQ16" s="343">
        <v>3255691.81</v>
      </c>
      <c r="AR16" s="343">
        <v>2493403</v>
      </c>
      <c r="AS16" s="343">
        <v>3355002.9899999993</v>
      </c>
      <c r="AT16" s="343">
        <v>3076565.75</v>
      </c>
      <c r="AU16" s="343">
        <v>2667519.61</v>
      </c>
      <c r="AV16" s="343">
        <v>2909164.47</v>
      </c>
      <c r="AW16" s="343">
        <v>3016449.5300000003</v>
      </c>
      <c r="AX16" s="343">
        <v>3091881.99</v>
      </c>
      <c r="AY16" s="343">
        <v>3689229.58</v>
      </c>
      <c r="AZ16" s="343">
        <v>3002554.72</v>
      </c>
      <c r="BA16" s="343">
        <v>30557463.449999996</v>
      </c>
      <c r="BB16" s="382"/>
      <c r="BC16" s="382" t="s">
        <v>67</v>
      </c>
      <c r="BD16" s="469">
        <f t="shared" si="2"/>
        <v>14848183.16</v>
      </c>
      <c r="BE16" s="469">
        <f t="shared" si="3"/>
        <v>15709280.290000001</v>
      </c>
    </row>
    <row r="17" spans="3:57" ht="16.5" thickTop="1" thickBot="1">
      <c r="C17" s="428" t="s">
        <v>64</v>
      </c>
      <c r="D17" s="346">
        <v>83.556754339999998</v>
      </c>
      <c r="E17" s="364">
        <v>81.14037931</v>
      </c>
      <c r="F17" s="430">
        <f t="shared" si="4"/>
        <v>-2.8918967103096715E-2</v>
      </c>
      <c r="M17" s="342"/>
      <c r="N17" s="382"/>
      <c r="O17" s="382" t="s">
        <v>545</v>
      </c>
      <c r="P17" s="343"/>
      <c r="Q17" s="343"/>
      <c r="R17" s="343"/>
      <c r="S17" s="343"/>
      <c r="T17" s="343"/>
      <c r="U17" s="343">
        <v>133032</v>
      </c>
      <c r="V17" s="343">
        <v>96266</v>
      </c>
      <c r="W17" s="343">
        <v>168634</v>
      </c>
      <c r="X17" s="343">
        <v>64860</v>
      </c>
      <c r="Y17" s="343">
        <v>234147</v>
      </c>
      <c r="Z17" s="343">
        <v>696939</v>
      </c>
      <c r="AA17" s="382"/>
      <c r="AB17" s="382" t="s">
        <v>545</v>
      </c>
      <c r="AC17" s="469">
        <f t="shared" si="0"/>
        <v>0</v>
      </c>
      <c r="AD17" s="469">
        <f t="shared" si="1"/>
        <v>696939</v>
      </c>
      <c r="AE17" s="382"/>
      <c r="AF17" s="382"/>
      <c r="AG17" s="382"/>
      <c r="AH17" s="512" t="s">
        <v>217</v>
      </c>
      <c r="AI17" s="469">
        <v>158957125.03</v>
      </c>
      <c r="AJ17" s="469">
        <v>56540886.979999997</v>
      </c>
      <c r="AK17" s="382"/>
      <c r="AL17" s="512" t="s">
        <v>217</v>
      </c>
      <c r="AM17" s="469">
        <v>158957125.03</v>
      </c>
      <c r="AN17" s="469">
        <v>56540886.979999997</v>
      </c>
      <c r="AO17" s="382"/>
      <c r="AP17" s="382" t="s">
        <v>69</v>
      </c>
      <c r="AQ17" s="343">
        <v>2048003.8699999999</v>
      </c>
      <c r="AR17" s="343">
        <v>145115.07</v>
      </c>
      <c r="AS17" s="343">
        <v>3400057.73</v>
      </c>
      <c r="AT17" s="343">
        <v>2750158.2500000005</v>
      </c>
      <c r="AU17" s="343">
        <v>3615363.55</v>
      </c>
      <c r="AV17" s="343">
        <v>622121.08000000007</v>
      </c>
      <c r="AW17" s="343">
        <v>2249731.33</v>
      </c>
      <c r="AX17" s="343">
        <v>2191337.7600000002</v>
      </c>
      <c r="AY17" s="343">
        <v>2302647.92</v>
      </c>
      <c r="AZ17" s="343">
        <v>4896704.68</v>
      </c>
      <c r="BA17" s="343">
        <v>24221241.240000002</v>
      </c>
      <c r="BB17" s="382"/>
      <c r="BC17" s="382" t="s">
        <v>69</v>
      </c>
      <c r="BD17" s="469">
        <f t="shared" si="2"/>
        <v>11958698.469999999</v>
      </c>
      <c r="BE17" s="469">
        <f t="shared" si="3"/>
        <v>12262542.77</v>
      </c>
    </row>
    <row r="18" spans="3:57" ht="16.5" thickTop="1" thickBot="1">
      <c r="C18" s="428" t="s">
        <v>65</v>
      </c>
      <c r="D18" s="351">
        <v>72.162353539999998</v>
      </c>
      <c r="E18" s="364">
        <v>71.67286390999999</v>
      </c>
      <c r="F18" s="430">
        <f t="shared" si="4"/>
        <v>-6.7831716398867314E-3</v>
      </c>
      <c r="M18" s="342"/>
      <c r="N18" s="382"/>
      <c r="O18" s="382" t="s">
        <v>66</v>
      </c>
      <c r="P18" s="343">
        <v>17749468.990000002</v>
      </c>
      <c r="Q18" s="343">
        <v>20076407.540000003</v>
      </c>
      <c r="R18" s="343">
        <v>15804605.740000002</v>
      </c>
      <c r="S18" s="343">
        <v>18493441.539999999</v>
      </c>
      <c r="T18" s="343">
        <v>19468913.370000001</v>
      </c>
      <c r="U18" s="343">
        <v>17549277.349999998</v>
      </c>
      <c r="V18" s="343">
        <v>23400048.710000005</v>
      </c>
      <c r="W18" s="343">
        <v>15633649.59</v>
      </c>
      <c r="X18" s="343">
        <v>20340664.670000002</v>
      </c>
      <c r="Y18" s="343">
        <v>19695382.680000003</v>
      </c>
      <c r="Z18" s="343">
        <v>188211860.18000004</v>
      </c>
      <c r="AA18" s="382"/>
      <c r="AB18" s="382" t="s">
        <v>66</v>
      </c>
      <c r="AC18" s="469">
        <f t="shared" si="0"/>
        <v>91592837.180000007</v>
      </c>
      <c r="AD18" s="469">
        <f t="shared" si="1"/>
        <v>96619023.000000015</v>
      </c>
      <c r="AE18" s="382"/>
      <c r="AF18" s="382"/>
      <c r="AG18" s="382"/>
      <c r="AH18" s="512" t="s">
        <v>68</v>
      </c>
      <c r="AI18" s="469">
        <v>37617622.759999998</v>
      </c>
      <c r="AJ18" s="469">
        <v>33275579.440000001</v>
      </c>
      <c r="AK18" s="382"/>
      <c r="AL18" s="512" t="s">
        <v>68</v>
      </c>
      <c r="AM18" s="469">
        <v>37617622.759999998</v>
      </c>
      <c r="AN18" s="469">
        <v>33275579.440000001</v>
      </c>
      <c r="AO18" s="382"/>
      <c r="AP18" s="382" t="s">
        <v>63</v>
      </c>
      <c r="AQ18" s="343">
        <v>3354200.67</v>
      </c>
      <c r="AR18" s="343">
        <v>20255915.619999997</v>
      </c>
      <c r="AS18" s="343">
        <v>14768688.310000001</v>
      </c>
      <c r="AT18" s="343">
        <v>17487298.68</v>
      </c>
      <c r="AU18" s="343">
        <v>19458613.330000002</v>
      </c>
      <c r="AV18" s="343">
        <v>3979575.6999999993</v>
      </c>
      <c r="AW18" s="343">
        <v>7171212.6900000004</v>
      </c>
      <c r="AX18" s="343">
        <v>11517449</v>
      </c>
      <c r="AY18" s="343">
        <v>7698680.3500000006</v>
      </c>
      <c r="AZ18" s="343">
        <v>26906465.559999999</v>
      </c>
      <c r="BA18" s="343">
        <v>132598099.91000003</v>
      </c>
      <c r="BB18" s="382"/>
      <c r="BC18" s="382" t="s">
        <v>63</v>
      </c>
      <c r="BD18" s="469">
        <f t="shared" si="2"/>
        <v>75324716.609999999</v>
      </c>
      <c r="BE18" s="469">
        <f t="shared" si="3"/>
        <v>57273383.299999997</v>
      </c>
    </row>
    <row r="19" spans="3:57" ht="16.5" thickTop="1" thickBot="1">
      <c r="C19" s="428" t="s">
        <v>62</v>
      </c>
      <c r="D19" s="431">
        <v>44.399813889999997</v>
      </c>
      <c r="E19" s="364">
        <v>57.43395134</v>
      </c>
      <c r="F19" s="429">
        <f t="shared" si="4"/>
        <v>0.29356288479703818</v>
      </c>
      <c r="M19" s="342"/>
      <c r="N19" s="382"/>
      <c r="O19" s="382" t="s">
        <v>70</v>
      </c>
      <c r="P19" s="343">
        <v>34498090.759999998</v>
      </c>
      <c r="Q19" s="343">
        <v>42538417.899999999</v>
      </c>
      <c r="R19" s="343">
        <v>63377117.910000004</v>
      </c>
      <c r="S19" s="343">
        <v>31973053.23</v>
      </c>
      <c r="T19" s="343">
        <v>28554765.16</v>
      </c>
      <c r="U19" s="343">
        <v>38531437.720000006</v>
      </c>
      <c r="V19" s="343">
        <v>44582544.269999996</v>
      </c>
      <c r="W19" s="343">
        <v>48903616.75</v>
      </c>
      <c r="X19" s="343">
        <v>49323736.710000008</v>
      </c>
      <c r="Y19" s="343">
        <v>43249945.850000009</v>
      </c>
      <c r="Z19" s="343">
        <v>425532726.25999987</v>
      </c>
      <c r="AA19" s="382"/>
      <c r="AB19" s="382" t="s">
        <v>70</v>
      </c>
      <c r="AC19" s="469">
        <f t="shared" si="0"/>
        <v>200941444.95999998</v>
      </c>
      <c r="AD19" s="469">
        <f>SUM(U19:Y19)+AI41</f>
        <v>224690250.30000001</v>
      </c>
      <c r="AE19" s="382"/>
      <c r="AF19" s="382"/>
      <c r="AG19" s="382"/>
      <c r="AH19" s="512" t="s">
        <v>71</v>
      </c>
      <c r="AI19" s="469">
        <v>25904049.710000001</v>
      </c>
      <c r="AJ19" s="469">
        <v>26481793.91</v>
      </c>
      <c r="AK19" s="382"/>
      <c r="AL19" s="512" t="s">
        <v>71</v>
      </c>
      <c r="AM19" s="469">
        <v>25904049.710000001</v>
      </c>
      <c r="AN19" s="469">
        <v>26481793.91</v>
      </c>
      <c r="AO19" s="382"/>
      <c r="AP19" s="382" t="s">
        <v>66</v>
      </c>
      <c r="AQ19" s="343">
        <v>17749468.990000002</v>
      </c>
      <c r="AR19" s="343">
        <v>20076407.540000003</v>
      </c>
      <c r="AS19" s="343">
        <v>15804605.740000002</v>
      </c>
      <c r="AT19" s="343">
        <v>18493441.539999999</v>
      </c>
      <c r="AU19" s="343">
        <v>19468913.370000001</v>
      </c>
      <c r="AV19" s="343">
        <v>17549277.349999998</v>
      </c>
      <c r="AW19" s="343">
        <v>23400048.710000005</v>
      </c>
      <c r="AX19" s="343">
        <v>15633649.59</v>
      </c>
      <c r="AY19" s="343">
        <v>20340664.670000002</v>
      </c>
      <c r="AZ19" s="343">
        <v>19695382.680000003</v>
      </c>
      <c r="BA19" s="343">
        <v>188211860.18000004</v>
      </c>
      <c r="BB19" s="382"/>
      <c r="BC19" s="382" t="s">
        <v>66</v>
      </c>
      <c r="BD19" s="469">
        <f t="shared" si="2"/>
        <v>91592837.180000007</v>
      </c>
      <c r="BE19" s="469">
        <f t="shared" si="3"/>
        <v>96619023.000000015</v>
      </c>
    </row>
    <row r="20" spans="3:57" ht="16.5" thickTop="1" thickBot="1">
      <c r="C20" s="428" t="s">
        <v>63</v>
      </c>
      <c r="D20" s="431">
        <v>75.324716609999996</v>
      </c>
      <c r="E20" s="364">
        <v>57.273383299999999</v>
      </c>
      <c r="F20" s="430">
        <f t="shared" si="4"/>
        <v>-0.23964687983444111</v>
      </c>
      <c r="M20" s="342"/>
      <c r="N20" s="382"/>
      <c r="O20" s="382" t="s">
        <v>538</v>
      </c>
      <c r="P20" s="343">
        <v>76500</v>
      </c>
      <c r="Q20" s="343">
        <v>63500</v>
      </c>
      <c r="R20" s="343">
        <v>90600</v>
      </c>
      <c r="S20" s="343">
        <v>64300</v>
      </c>
      <c r="T20" s="343">
        <v>69477</v>
      </c>
      <c r="U20" s="343">
        <v>48877.66</v>
      </c>
      <c r="V20" s="343">
        <v>39004.480000000003</v>
      </c>
      <c r="W20" s="343">
        <v>138906.49</v>
      </c>
      <c r="X20" s="343">
        <v>177836.55</v>
      </c>
      <c r="Y20" s="343">
        <v>382618.32000000007</v>
      </c>
      <c r="Z20" s="343">
        <v>1151620.5</v>
      </c>
      <c r="AA20" s="382"/>
      <c r="AB20" s="382" t="s">
        <v>538</v>
      </c>
      <c r="AC20" s="469">
        <f t="shared" si="0"/>
        <v>364377</v>
      </c>
      <c r="AD20" s="469">
        <f t="shared" si="1"/>
        <v>787243.5</v>
      </c>
      <c r="AE20" s="382"/>
      <c r="AF20" s="382"/>
      <c r="AG20" s="382"/>
      <c r="AH20" s="512" t="s">
        <v>67</v>
      </c>
      <c r="AI20" s="469">
        <v>14848183.16</v>
      </c>
      <c r="AJ20" s="469">
        <v>15709280.290000001</v>
      </c>
      <c r="AK20" s="382"/>
      <c r="AL20" s="512" t="s">
        <v>67</v>
      </c>
      <c r="AM20" s="469">
        <v>14848183.16</v>
      </c>
      <c r="AN20" s="469">
        <v>15709280.290000001</v>
      </c>
      <c r="AO20" s="382"/>
      <c r="AP20" s="382" t="s">
        <v>70</v>
      </c>
      <c r="AQ20" s="343">
        <v>34498090.759999998</v>
      </c>
      <c r="AR20" s="343">
        <v>42538417.899999999</v>
      </c>
      <c r="AS20" s="343">
        <v>63377117.910000004</v>
      </c>
      <c r="AT20" s="343">
        <v>31973053.23</v>
      </c>
      <c r="AU20" s="343">
        <v>28554765.16</v>
      </c>
      <c r="AV20" s="343">
        <v>38531437.720000006</v>
      </c>
      <c r="AW20" s="343">
        <v>44582544.269999996</v>
      </c>
      <c r="AX20" s="343">
        <v>48903616.75</v>
      </c>
      <c r="AY20" s="343">
        <v>49323736.710000008</v>
      </c>
      <c r="AZ20" s="343">
        <v>43249945.850000009</v>
      </c>
      <c r="BA20" s="343">
        <v>425532726.25999987</v>
      </c>
      <c r="BB20" s="382"/>
      <c r="BC20" s="382" t="s">
        <v>70</v>
      </c>
      <c r="BD20" s="469">
        <f t="shared" si="2"/>
        <v>200941444.95999998</v>
      </c>
      <c r="BE20" s="469">
        <f t="shared" si="3"/>
        <v>224591281.30000001</v>
      </c>
    </row>
    <row r="21" spans="3:57" ht="16.5" thickTop="1" thickBot="1">
      <c r="C21" s="428" t="s">
        <v>217</v>
      </c>
      <c r="D21" s="431">
        <v>158.95712503000001</v>
      </c>
      <c r="E21" s="364">
        <v>56.540886979999996</v>
      </c>
      <c r="F21" s="430" t="s">
        <v>85</v>
      </c>
      <c r="M21" s="342"/>
      <c r="N21" s="382"/>
      <c r="O21" s="382" t="s">
        <v>65</v>
      </c>
      <c r="P21" s="343">
        <v>14302706.26</v>
      </c>
      <c r="Q21" s="343">
        <v>14569874.01</v>
      </c>
      <c r="R21" s="343">
        <v>14698332.690000001</v>
      </c>
      <c r="S21" s="343">
        <v>14392885.789999999</v>
      </c>
      <c r="T21" s="343">
        <v>14198554.789999999</v>
      </c>
      <c r="U21" s="343">
        <v>13349798.520000001</v>
      </c>
      <c r="V21" s="343">
        <v>12632122.549999999</v>
      </c>
      <c r="W21" s="343">
        <v>14049430.43</v>
      </c>
      <c r="X21" s="343">
        <v>16289555.859999999</v>
      </c>
      <c r="Y21" s="343">
        <v>15351956.549999999</v>
      </c>
      <c r="Z21" s="343">
        <v>143835217.45000005</v>
      </c>
      <c r="AA21" s="382"/>
      <c r="AB21" s="382" t="s">
        <v>65</v>
      </c>
      <c r="AC21" s="469">
        <f t="shared" si="0"/>
        <v>72162353.539999992</v>
      </c>
      <c r="AD21" s="469">
        <f t="shared" si="1"/>
        <v>71672863.909999996</v>
      </c>
      <c r="AE21" s="382"/>
      <c r="AF21" s="382"/>
      <c r="AG21" s="382"/>
      <c r="AH21" s="512" t="s">
        <v>69</v>
      </c>
      <c r="AI21" s="469">
        <v>11958698.469999999</v>
      </c>
      <c r="AJ21" s="469">
        <v>12262542.77</v>
      </c>
      <c r="AK21" s="382"/>
      <c r="AL21" s="512" t="s">
        <v>69</v>
      </c>
      <c r="AM21" s="469">
        <v>11958698.469999999</v>
      </c>
      <c r="AN21" s="469">
        <v>12262542.77</v>
      </c>
      <c r="AO21" s="382"/>
      <c r="AP21" s="382" t="s">
        <v>538</v>
      </c>
      <c r="AQ21" s="343">
        <v>76500</v>
      </c>
      <c r="AR21" s="343">
        <v>63500</v>
      </c>
      <c r="AS21" s="343">
        <v>90600</v>
      </c>
      <c r="AT21" s="343">
        <v>64300</v>
      </c>
      <c r="AU21" s="343">
        <v>69477</v>
      </c>
      <c r="AV21" s="343">
        <v>48877.66</v>
      </c>
      <c r="AW21" s="343">
        <v>39004.480000000003</v>
      </c>
      <c r="AX21" s="343">
        <v>138906.49</v>
      </c>
      <c r="AY21" s="343">
        <v>177836.55</v>
      </c>
      <c r="AZ21" s="343">
        <v>382618.32000000007</v>
      </c>
      <c r="BA21" s="343">
        <v>1151620.5</v>
      </c>
      <c r="BB21" s="382"/>
      <c r="BC21" s="382" t="s">
        <v>538</v>
      </c>
      <c r="BD21" s="469">
        <f t="shared" si="2"/>
        <v>364377</v>
      </c>
      <c r="BE21" s="469">
        <f t="shared" si="3"/>
        <v>787243.5</v>
      </c>
    </row>
    <row r="22" spans="3:57" ht="16.5" thickTop="1" thickBot="1">
      <c r="C22" s="428" t="s">
        <v>68</v>
      </c>
      <c r="D22" s="431">
        <v>37.617622759999996</v>
      </c>
      <c r="E22" s="364">
        <v>33.275579440000001</v>
      </c>
      <c r="F22" s="430">
        <f t="shared" si="4"/>
        <v>-0.11542577657557418</v>
      </c>
      <c r="M22" s="342"/>
      <c r="N22" s="382"/>
      <c r="O22" s="382" t="s">
        <v>539</v>
      </c>
      <c r="P22" s="343">
        <v>31000</v>
      </c>
      <c r="Q22" s="343">
        <v>30000</v>
      </c>
      <c r="R22" s="343"/>
      <c r="S22" s="343">
        <v>30000</v>
      </c>
      <c r="T22" s="343">
        <v>34000</v>
      </c>
      <c r="U22" s="343">
        <v>26000</v>
      </c>
      <c r="V22" s="343">
        <v>32000</v>
      </c>
      <c r="W22" s="343">
        <v>19800</v>
      </c>
      <c r="X22" s="343">
        <v>19750</v>
      </c>
      <c r="Y22" s="343">
        <v>12980</v>
      </c>
      <c r="Z22" s="343">
        <v>235530</v>
      </c>
      <c r="AA22" s="382"/>
      <c r="AB22" s="382" t="s">
        <v>539</v>
      </c>
      <c r="AC22" s="469">
        <f t="shared" si="0"/>
        <v>125000</v>
      </c>
      <c r="AD22" s="469">
        <f t="shared" si="1"/>
        <v>110530</v>
      </c>
      <c r="AE22" s="382"/>
      <c r="AF22" s="382"/>
      <c r="AG22" s="382"/>
      <c r="AH22" s="512" t="s">
        <v>355</v>
      </c>
      <c r="AI22" s="469">
        <v>7779832.6700000009</v>
      </c>
      <c r="AJ22" s="469">
        <v>7201802.1900000004</v>
      </c>
      <c r="AK22" s="382"/>
      <c r="AL22" s="512" t="s">
        <v>355</v>
      </c>
      <c r="AM22" s="469">
        <v>7779832.6700000009</v>
      </c>
      <c r="AN22" s="469">
        <v>7201802.1900000004</v>
      </c>
      <c r="AO22" s="382"/>
      <c r="AP22" s="382" t="s">
        <v>65</v>
      </c>
      <c r="AQ22" s="343">
        <v>14302706.26</v>
      </c>
      <c r="AR22" s="343">
        <v>14569874.01</v>
      </c>
      <c r="AS22" s="343">
        <v>14698332.690000001</v>
      </c>
      <c r="AT22" s="343">
        <v>14392885.789999999</v>
      </c>
      <c r="AU22" s="343">
        <v>14198554.789999999</v>
      </c>
      <c r="AV22" s="343">
        <v>13349798.520000001</v>
      </c>
      <c r="AW22" s="343">
        <v>12632122.549999999</v>
      </c>
      <c r="AX22" s="343">
        <v>14049430.43</v>
      </c>
      <c r="AY22" s="343">
        <v>16289555.859999999</v>
      </c>
      <c r="AZ22" s="343">
        <v>15351956.549999999</v>
      </c>
      <c r="BA22" s="343">
        <v>143835217.45000005</v>
      </c>
      <c r="BB22" s="382"/>
      <c r="BC22" s="382" t="s">
        <v>65</v>
      </c>
      <c r="BD22" s="469">
        <f t="shared" si="2"/>
        <v>72162353.539999992</v>
      </c>
      <c r="BE22" s="469">
        <f t="shared" si="3"/>
        <v>71672863.909999996</v>
      </c>
    </row>
    <row r="23" spans="3:57" ht="16.5" thickTop="1" thickBot="1">
      <c r="C23" s="428" t="s">
        <v>71</v>
      </c>
      <c r="D23" s="431">
        <v>25.904049710000002</v>
      </c>
      <c r="E23" s="364">
        <v>26.48179391</v>
      </c>
      <c r="F23" s="429">
        <f t="shared" si="4"/>
        <v>2.2303238546402371E-2</v>
      </c>
      <c r="M23" s="342"/>
      <c r="N23" s="382"/>
      <c r="O23" s="382" t="s">
        <v>46</v>
      </c>
      <c r="P23" s="343">
        <v>506359</v>
      </c>
      <c r="Q23" s="343">
        <v>716381</v>
      </c>
      <c r="R23" s="343">
        <v>727988</v>
      </c>
      <c r="S23" s="343">
        <v>643787</v>
      </c>
      <c r="T23" s="343">
        <v>604391</v>
      </c>
      <c r="U23" s="343">
        <v>706388</v>
      </c>
      <c r="V23" s="343">
        <v>689019</v>
      </c>
      <c r="W23" s="343">
        <v>478373</v>
      </c>
      <c r="X23" s="343">
        <v>699650</v>
      </c>
      <c r="Y23" s="343">
        <v>677925</v>
      </c>
      <c r="Z23" s="343">
        <v>6450261</v>
      </c>
      <c r="AA23" s="382"/>
      <c r="AB23" s="382" t="s">
        <v>46</v>
      </c>
      <c r="AC23" s="469">
        <f t="shared" si="0"/>
        <v>3198906</v>
      </c>
      <c r="AD23" s="469">
        <f t="shared" si="1"/>
        <v>3251355</v>
      </c>
      <c r="AE23" s="382"/>
      <c r="AF23" s="382"/>
      <c r="AG23" s="382"/>
      <c r="AH23" s="512" t="s">
        <v>46</v>
      </c>
      <c r="AI23" s="469">
        <v>3198906</v>
      </c>
      <c r="AJ23" s="469">
        <v>3251355</v>
      </c>
      <c r="AK23" s="382"/>
      <c r="AL23" s="512" t="s">
        <v>46</v>
      </c>
      <c r="AM23" s="469">
        <v>3198906</v>
      </c>
      <c r="AN23" s="469">
        <v>3251355</v>
      </c>
      <c r="AO23" s="382"/>
      <c r="AP23" s="382" t="s">
        <v>539</v>
      </c>
      <c r="AQ23" s="343">
        <v>31000</v>
      </c>
      <c r="AR23" s="343">
        <v>30000</v>
      </c>
      <c r="AS23" s="343"/>
      <c r="AT23" s="343">
        <v>30000</v>
      </c>
      <c r="AU23" s="343">
        <v>34000</v>
      </c>
      <c r="AV23" s="343">
        <v>26000</v>
      </c>
      <c r="AW23" s="343">
        <v>32000</v>
      </c>
      <c r="AX23" s="343">
        <v>19800</v>
      </c>
      <c r="AY23" s="343">
        <v>19750</v>
      </c>
      <c r="AZ23" s="343">
        <v>12980</v>
      </c>
      <c r="BA23" s="343">
        <v>235530</v>
      </c>
      <c r="BB23" s="382"/>
      <c r="BC23" s="382" t="s">
        <v>539</v>
      </c>
      <c r="BD23" s="469">
        <f t="shared" si="2"/>
        <v>125000</v>
      </c>
      <c r="BE23" s="469">
        <f t="shared" si="3"/>
        <v>110530</v>
      </c>
    </row>
    <row r="24" spans="3:57" ht="16.5" thickTop="1" thickBot="1">
      <c r="C24" s="428" t="s">
        <v>67</v>
      </c>
      <c r="D24" s="431">
        <v>14.84818316</v>
      </c>
      <c r="E24" s="364">
        <v>15.709280290000001</v>
      </c>
      <c r="F24" s="429">
        <f t="shared" si="4"/>
        <v>5.7993433992634014E-2</v>
      </c>
      <c r="M24" s="342"/>
      <c r="N24" s="382"/>
      <c r="O24" s="382" t="s">
        <v>229</v>
      </c>
      <c r="P24" s="343">
        <v>526</v>
      </c>
      <c r="Q24" s="343">
        <v>526</v>
      </c>
      <c r="R24" s="343">
        <v>530</v>
      </c>
      <c r="S24" s="343">
        <v>526</v>
      </c>
      <c r="T24" s="343">
        <v>530</v>
      </c>
      <c r="U24" s="343"/>
      <c r="V24" s="343"/>
      <c r="W24" s="343"/>
      <c r="X24" s="343"/>
      <c r="Y24" s="343"/>
      <c r="Z24" s="343">
        <v>2638</v>
      </c>
      <c r="AA24" s="382"/>
      <c r="AB24" s="382" t="s">
        <v>229</v>
      </c>
      <c r="AC24" s="469">
        <f t="shared" si="0"/>
        <v>2638</v>
      </c>
      <c r="AD24" s="469">
        <f t="shared" si="1"/>
        <v>0</v>
      </c>
      <c r="AE24" s="382"/>
      <c r="AF24" s="382"/>
      <c r="AG24" s="382"/>
      <c r="AH24" s="512" t="s">
        <v>538</v>
      </c>
      <c r="AI24" s="469">
        <v>364377</v>
      </c>
      <c r="AJ24" s="469">
        <v>787243.5</v>
      </c>
      <c r="AK24" s="382"/>
      <c r="AL24" s="512" t="s">
        <v>538</v>
      </c>
      <c r="AM24" s="469">
        <v>364377</v>
      </c>
      <c r="AN24" s="469">
        <v>787243.5</v>
      </c>
      <c r="AO24" s="382"/>
      <c r="AP24" s="382" t="s">
        <v>46</v>
      </c>
      <c r="AQ24" s="343">
        <v>506359</v>
      </c>
      <c r="AR24" s="343">
        <v>716381</v>
      </c>
      <c r="AS24" s="343">
        <v>727988</v>
      </c>
      <c r="AT24" s="343">
        <v>643787</v>
      </c>
      <c r="AU24" s="343">
        <v>604391</v>
      </c>
      <c r="AV24" s="343">
        <v>706388</v>
      </c>
      <c r="AW24" s="343">
        <v>689019</v>
      </c>
      <c r="AX24" s="343">
        <v>478373</v>
      </c>
      <c r="AY24" s="343">
        <v>699650</v>
      </c>
      <c r="AZ24" s="343">
        <v>677925</v>
      </c>
      <c r="BA24" s="343">
        <v>6450261</v>
      </c>
      <c r="BB24" s="382"/>
      <c r="BC24" s="382" t="s">
        <v>46</v>
      </c>
      <c r="BD24" s="469">
        <f t="shared" si="2"/>
        <v>3198906</v>
      </c>
      <c r="BE24" s="469">
        <f t="shared" si="3"/>
        <v>3251355</v>
      </c>
    </row>
    <row r="25" spans="3:57" ht="16.5" thickTop="1" thickBot="1">
      <c r="C25" s="428" t="s">
        <v>69</v>
      </c>
      <c r="D25" s="431">
        <v>11.958698469999998</v>
      </c>
      <c r="E25" s="364">
        <v>12.26254277</v>
      </c>
      <c r="F25" s="429">
        <f t="shared" si="4"/>
        <v>2.5407806774477626E-2</v>
      </c>
      <c r="M25" s="342"/>
      <c r="N25" s="382"/>
      <c r="O25" s="382" t="s">
        <v>59</v>
      </c>
      <c r="P25" s="343">
        <v>6746129.8600000003</v>
      </c>
      <c r="Q25" s="343">
        <v>29312148.07</v>
      </c>
      <c r="R25" s="343">
        <v>18666947.810000002</v>
      </c>
      <c r="S25" s="343">
        <v>27898172.269999996</v>
      </c>
      <c r="T25" s="343">
        <v>35024126.600000001</v>
      </c>
      <c r="U25" s="343">
        <v>10211154.42</v>
      </c>
      <c r="V25" s="343">
        <v>17283113.060000002</v>
      </c>
      <c r="W25" s="343">
        <v>19867535.289999999</v>
      </c>
      <c r="X25" s="343">
        <v>23005613.600000001</v>
      </c>
      <c r="Y25" s="343">
        <v>20136379.049999997</v>
      </c>
      <c r="Z25" s="343">
        <v>208151320.03000006</v>
      </c>
      <c r="AA25" s="382"/>
      <c r="AB25" s="382" t="s">
        <v>59</v>
      </c>
      <c r="AC25" s="469">
        <f t="shared" si="0"/>
        <v>117647524.60999998</v>
      </c>
      <c r="AD25" s="469">
        <f t="shared" si="1"/>
        <v>90503795.420000002</v>
      </c>
      <c r="AE25" s="382"/>
      <c r="AF25" s="382"/>
      <c r="AG25" s="382"/>
      <c r="AH25" s="512" t="s">
        <v>545</v>
      </c>
      <c r="AI25" s="469">
        <v>0</v>
      </c>
      <c r="AJ25" s="469">
        <v>696939</v>
      </c>
      <c r="AK25" s="382"/>
      <c r="AL25" s="512" t="s">
        <v>534</v>
      </c>
      <c r="AM25" s="469">
        <v>291839</v>
      </c>
      <c r="AN25" s="469">
        <v>213337</v>
      </c>
      <c r="AO25" s="382"/>
      <c r="AP25" s="382" t="s">
        <v>59</v>
      </c>
      <c r="AQ25" s="343">
        <v>6746129.8600000003</v>
      </c>
      <c r="AR25" s="343">
        <v>29312148.07</v>
      </c>
      <c r="AS25" s="343">
        <v>18666947.810000002</v>
      </c>
      <c r="AT25" s="343">
        <v>27898172.269999996</v>
      </c>
      <c r="AU25" s="343">
        <v>35024126.600000001</v>
      </c>
      <c r="AV25" s="343">
        <v>10211154.42</v>
      </c>
      <c r="AW25" s="343">
        <v>17283113.060000002</v>
      </c>
      <c r="AX25" s="343">
        <v>19867535.289999999</v>
      </c>
      <c r="AY25" s="343">
        <v>23005613.600000001</v>
      </c>
      <c r="AZ25" s="343">
        <v>20136379.049999997</v>
      </c>
      <c r="BA25" s="343">
        <v>208151320.03000006</v>
      </c>
      <c r="BB25" s="382"/>
      <c r="BC25" s="382" t="s">
        <v>59</v>
      </c>
      <c r="BD25" s="469">
        <f t="shared" si="2"/>
        <v>117647524.60999998</v>
      </c>
      <c r="BE25" s="469">
        <f t="shared" si="3"/>
        <v>90503795.420000002</v>
      </c>
    </row>
    <row r="26" spans="3:57" ht="16.5" thickTop="1" thickBot="1">
      <c r="C26" s="428" t="s">
        <v>355</v>
      </c>
      <c r="D26" s="431">
        <v>7.7798326700000011</v>
      </c>
      <c r="E26" s="364">
        <v>7.2018021900000004</v>
      </c>
      <c r="F26" s="430">
        <f t="shared" si="4"/>
        <v>-7.4298574856109467E-2</v>
      </c>
      <c r="M26" s="342"/>
      <c r="N26" s="382"/>
      <c r="O26" s="382" t="s">
        <v>62</v>
      </c>
      <c r="P26" s="343">
        <v>7043403.7199999997</v>
      </c>
      <c r="Q26" s="343">
        <v>7910511.9400000004</v>
      </c>
      <c r="R26" s="343">
        <v>10963524.030000001</v>
      </c>
      <c r="S26" s="343">
        <v>8655707.1300000008</v>
      </c>
      <c r="T26" s="343">
        <v>9826667.0700000003</v>
      </c>
      <c r="U26" s="343">
        <v>7786538.4000000004</v>
      </c>
      <c r="V26" s="343">
        <v>9397458.2900000028</v>
      </c>
      <c r="W26" s="343">
        <v>11322280.640000001</v>
      </c>
      <c r="X26" s="343">
        <v>13204114.359999999</v>
      </c>
      <c r="Y26" s="343">
        <v>15723559.65</v>
      </c>
      <c r="Z26" s="343">
        <v>101833765.23</v>
      </c>
      <c r="AA26" s="382"/>
      <c r="AB26" s="382" t="s">
        <v>62</v>
      </c>
      <c r="AC26" s="469">
        <f t="shared" si="0"/>
        <v>44399813.890000001</v>
      </c>
      <c r="AD26" s="469">
        <f t="shared" si="1"/>
        <v>57433951.340000004</v>
      </c>
      <c r="AE26" s="382"/>
      <c r="AF26" s="382"/>
      <c r="AG26" s="382"/>
      <c r="AH26" s="512" t="s">
        <v>534</v>
      </c>
      <c r="AI26" s="469">
        <v>291839</v>
      </c>
      <c r="AJ26" s="469">
        <v>213337</v>
      </c>
      <c r="AK26" s="382"/>
      <c r="AL26" s="512" t="s">
        <v>537</v>
      </c>
      <c r="AM26" s="469">
        <v>417000</v>
      </c>
      <c r="AN26" s="469">
        <v>151100</v>
      </c>
      <c r="AO26" s="382"/>
      <c r="AP26" s="382" t="s">
        <v>62</v>
      </c>
      <c r="AQ26" s="343">
        <v>7043403.7199999997</v>
      </c>
      <c r="AR26" s="343">
        <v>7910511.9400000004</v>
      </c>
      <c r="AS26" s="343">
        <v>10963524.030000001</v>
      </c>
      <c r="AT26" s="343">
        <v>8655707.1300000008</v>
      </c>
      <c r="AU26" s="343">
        <v>9826667.0700000003</v>
      </c>
      <c r="AV26" s="343">
        <v>7786538.4000000004</v>
      </c>
      <c r="AW26" s="343">
        <v>9397458.2900000028</v>
      </c>
      <c r="AX26" s="343">
        <v>11322280.640000001</v>
      </c>
      <c r="AY26" s="343">
        <v>13204114.359999999</v>
      </c>
      <c r="AZ26" s="343">
        <v>15723559.65</v>
      </c>
      <c r="BA26" s="343">
        <v>101833765.23</v>
      </c>
      <c r="BB26" s="382"/>
      <c r="BC26" s="382" t="s">
        <v>62</v>
      </c>
      <c r="BD26" s="469">
        <f t="shared" si="2"/>
        <v>44399813.890000001</v>
      </c>
      <c r="BE26" s="469">
        <f t="shared" si="3"/>
        <v>57433951.340000004</v>
      </c>
    </row>
    <row r="27" spans="3:57" ht="16.5" thickTop="1" thickBot="1">
      <c r="C27" s="428" t="s">
        <v>46</v>
      </c>
      <c r="D27" s="431">
        <v>3.198906</v>
      </c>
      <c r="E27" s="364">
        <v>3.2513550000000002</v>
      </c>
      <c r="F27" s="429">
        <f t="shared" si="4"/>
        <v>1.6395917854416631E-2</v>
      </c>
      <c r="M27" s="342"/>
      <c r="N27" s="382"/>
      <c r="O27" s="382" t="s">
        <v>355</v>
      </c>
      <c r="P27" s="343">
        <v>718920.41</v>
      </c>
      <c r="Q27" s="343">
        <v>1323816.1000000001</v>
      </c>
      <c r="R27" s="343">
        <v>2159243.14</v>
      </c>
      <c r="S27" s="343">
        <v>2434089.7000000002</v>
      </c>
      <c r="T27" s="343">
        <v>1143763.32</v>
      </c>
      <c r="U27" s="343">
        <v>1355344.2</v>
      </c>
      <c r="V27" s="343">
        <v>1308669.1600000001</v>
      </c>
      <c r="W27" s="343">
        <v>2209263.91</v>
      </c>
      <c r="X27" s="343">
        <v>1071655.17</v>
      </c>
      <c r="Y27" s="343">
        <v>1256869.75</v>
      </c>
      <c r="Z27" s="343">
        <v>14981634.859999998</v>
      </c>
      <c r="AA27" s="382"/>
      <c r="AB27" s="382" t="s">
        <v>355</v>
      </c>
      <c r="AC27" s="469">
        <f t="shared" si="0"/>
        <v>7779832.6700000009</v>
      </c>
      <c r="AD27" s="469">
        <f t="shared" si="1"/>
        <v>7201802.1900000004</v>
      </c>
      <c r="AE27" s="382"/>
      <c r="AF27" s="382"/>
      <c r="AG27" s="382"/>
      <c r="AH27" s="512" t="s">
        <v>537</v>
      </c>
      <c r="AI27" s="469">
        <v>417000</v>
      </c>
      <c r="AJ27" s="469">
        <v>151100</v>
      </c>
      <c r="AK27" s="382"/>
      <c r="AL27" s="512" t="s">
        <v>539</v>
      </c>
      <c r="AM27" s="469">
        <v>125000</v>
      </c>
      <c r="AN27" s="469">
        <v>110530</v>
      </c>
      <c r="AO27" s="382"/>
      <c r="AP27" s="382" t="s">
        <v>355</v>
      </c>
      <c r="AQ27" s="343">
        <v>718920.41</v>
      </c>
      <c r="AR27" s="343">
        <v>1323816.1000000001</v>
      </c>
      <c r="AS27" s="343">
        <v>2159243.14</v>
      </c>
      <c r="AT27" s="343">
        <v>2434089.7000000002</v>
      </c>
      <c r="AU27" s="343">
        <v>1143763.32</v>
      </c>
      <c r="AV27" s="343">
        <v>1355344.2</v>
      </c>
      <c r="AW27" s="343">
        <v>1308669.1600000001</v>
      </c>
      <c r="AX27" s="343">
        <v>2209263.91</v>
      </c>
      <c r="AY27" s="343">
        <v>1071655.17</v>
      </c>
      <c r="AZ27" s="343">
        <v>1256869.75</v>
      </c>
      <c r="BA27" s="343">
        <v>14981634.859999998</v>
      </c>
      <c r="BB27" s="382"/>
      <c r="BC27" s="382" t="s">
        <v>355</v>
      </c>
      <c r="BD27" s="469">
        <f t="shared" si="2"/>
        <v>7779832.6700000009</v>
      </c>
      <c r="BE27" s="469">
        <f t="shared" si="3"/>
        <v>7201802.1900000004</v>
      </c>
    </row>
    <row r="28" spans="3:57" ht="16.5" thickTop="1" thickBot="1">
      <c r="C28" s="428" t="s">
        <v>538</v>
      </c>
      <c r="D28" s="431">
        <v>0.36437700000000001</v>
      </c>
      <c r="E28" s="364">
        <v>0.78724349999999998</v>
      </c>
      <c r="F28" s="429">
        <f t="shared" si="4"/>
        <v>1.160519187544768</v>
      </c>
      <c r="M28" s="342"/>
      <c r="N28" s="382"/>
      <c r="O28" s="382" t="s">
        <v>68</v>
      </c>
      <c r="P28" s="343">
        <v>4257644.92</v>
      </c>
      <c r="Q28" s="343">
        <v>11871480.970000001</v>
      </c>
      <c r="R28" s="343">
        <v>4829560.4700000007</v>
      </c>
      <c r="S28" s="343">
        <v>8562955.5100000016</v>
      </c>
      <c r="T28" s="343">
        <v>8095980.8899999997</v>
      </c>
      <c r="U28" s="343">
        <v>3857900.3999999994</v>
      </c>
      <c r="V28" s="343">
        <v>6774529.4699999979</v>
      </c>
      <c r="W28" s="343">
        <v>6849735.8700000001</v>
      </c>
      <c r="X28" s="343">
        <v>9503172.0499999989</v>
      </c>
      <c r="Y28" s="343">
        <v>6290241.6500000013</v>
      </c>
      <c r="Z28" s="343">
        <v>70893202.200000018</v>
      </c>
      <c r="AA28" s="382"/>
      <c r="AB28" s="382" t="s">
        <v>68</v>
      </c>
      <c r="AC28" s="469">
        <f t="shared" si="0"/>
        <v>37617622.759999998</v>
      </c>
      <c r="AD28" s="469">
        <f t="shared" si="1"/>
        <v>33275579.440000001</v>
      </c>
      <c r="AE28" s="382"/>
      <c r="AF28" s="382"/>
      <c r="AG28" s="382"/>
      <c r="AH28" s="512" t="s">
        <v>539</v>
      </c>
      <c r="AI28" s="469">
        <v>125000</v>
      </c>
      <c r="AJ28" s="469">
        <v>110530</v>
      </c>
      <c r="AK28" s="382"/>
      <c r="AL28" s="512" t="s">
        <v>540</v>
      </c>
      <c r="AM28" s="469">
        <v>14231.73</v>
      </c>
      <c r="AN28" s="469">
        <v>26110.04</v>
      </c>
      <c r="AO28" s="382"/>
      <c r="AP28" s="382" t="s">
        <v>68</v>
      </c>
      <c r="AQ28" s="343">
        <v>4257644.92</v>
      </c>
      <c r="AR28" s="343">
        <v>11871480.970000001</v>
      </c>
      <c r="AS28" s="343">
        <v>4829560.4700000007</v>
      </c>
      <c r="AT28" s="343">
        <v>8562955.5100000016</v>
      </c>
      <c r="AU28" s="343">
        <v>8095980.8899999997</v>
      </c>
      <c r="AV28" s="343">
        <v>3857900.3999999994</v>
      </c>
      <c r="AW28" s="343">
        <v>6774529.4699999979</v>
      </c>
      <c r="AX28" s="343">
        <v>6849735.8700000001</v>
      </c>
      <c r="AY28" s="343">
        <v>9503172.0499999989</v>
      </c>
      <c r="AZ28" s="343">
        <v>6290241.6500000013</v>
      </c>
      <c r="BA28" s="343">
        <v>70893202.200000018</v>
      </c>
      <c r="BB28" s="382"/>
      <c r="BC28" s="382" t="s">
        <v>68</v>
      </c>
      <c r="BD28" s="469">
        <f t="shared" si="2"/>
        <v>37617622.759999998</v>
      </c>
      <c r="BE28" s="469">
        <f t="shared" si="3"/>
        <v>33275579.440000001</v>
      </c>
    </row>
    <row r="29" spans="3:57" ht="16.5" thickTop="1" thickBot="1">
      <c r="C29" s="428" t="s">
        <v>534</v>
      </c>
      <c r="D29" s="431">
        <v>0.29183900000000002</v>
      </c>
      <c r="E29" s="364">
        <v>0.213337</v>
      </c>
      <c r="F29" s="430">
        <f t="shared" si="4"/>
        <v>-0.26899077916248348</v>
      </c>
      <c r="M29" s="342"/>
      <c r="N29" s="382"/>
      <c r="O29" s="382" t="s">
        <v>540</v>
      </c>
      <c r="P29" s="343">
        <v>3230.8</v>
      </c>
      <c r="Q29" s="343">
        <v>2949</v>
      </c>
      <c r="R29" s="343">
        <v>2573.9299999999998</v>
      </c>
      <c r="S29" s="343">
        <v>3480</v>
      </c>
      <c r="T29" s="343">
        <v>1998</v>
      </c>
      <c r="U29" s="343">
        <v>4216.3999999999996</v>
      </c>
      <c r="V29" s="343">
        <v>2795</v>
      </c>
      <c r="W29" s="343">
        <v>6121</v>
      </c>
      <c r="X29" s="343">
        <v>8376.64</v>
      </c>
      <c r="Y29" s="343">
        <v>4601</v>
      </c>
      <c r="Z29" s="343">
        <v>40341.770000000004</v>
      </c>
      <c r="AA29" s="382"/>
      <c r="AB29" s="382" t="s">
        <v>540</v>
      </c>
      <c r="AC29" s="469">
        <f t="shared" si="0"/>
        <v>14231.73</v>
      </c>
      <c r="AD29" s="469">
        <f t="shared" si="1"/>
        <v>26110.04</v>
      </c>
      <c r="AE29" s="382"/>
      <c r="AF29" s="382"/>
      <c r="AG29" s="382"/>
      <c r="AH29" s="512" t="s">
        <v>540</v>
      </c>
      <c r="AI29" s="469">
        <v>14231.73</v>
      </c>
      <c r="AJ29" s="469">
        <v>26110.04</v>
      </c>
      <c r="AK29" s="382"/>
      <c r="AL29" s="512" t="s">
        <v>541</v>
      </c>
      <c r="AM29" s="469">
        <v>0</v>
      </c>
      <c r="AN29" s="469">
        <v>16000</v>
      </c>
      <c r="AO29" s="382"/>
      <c r="AP29" s="382" t="s">
        <v>540</v>
      </c>
      <c r="AQ29" s="343">
        <v>3230.8</v>
      </c>
      <c r="AR29" s="343">
        <v>2949</v>
      </c>
      <c r="AS29" s="343">
        <v>2573.9299999999998</v>
      </c>
      <c r="AT29" s="343">
        <v>3480</v>
      </c>
      <c r="AU29" s="343">
        <v>1998</v>
      </c>
      <c r="AV29" s="343">
        <v>4216.3999999999996</v>
      </c>
      <c r="AW29" s="343">
        <v>2795</v>
      </c>
      <c r="AX29" s="343">
        <v>6121</v>
      </c>
      <c r="AY29" s="343">
        <v>8376.64</v>
      </c>
      <c r="AZ29" s="343">
        <v>4601</v>
      </c>
      <c r="BA29" s="343">
        <v>40341.770000000004</v>
      </c>
      <c r="BB29" s="382"/>
      <c r="BC29" s="382" t="s">
        <v>540</v>
      </c>
      <c r="BD29" s="469">
        <f t="shared" si="2"/>
        <v>14231.73</v>
      </c>
      <c r="BE29" s="469">
        <f t="shared" si="3"/>
        <v>26110.04</v>
      </c>
    </row>
    <row r="30" spans="3:57" ht="16.5" thickTop="1" thickBot="1">
      <c r="C30" s="428" t="s">
        <v>537</v>
      </c>
      <c r="D30" s="431">
        <v>0.41699999999999998</v>
      </c>
      <c r="E30" s="364">
        <v>0.15110000000000001</v>
      </c>
      <c r="F30" s="430">
        <f t="shared" si="4"/>
        <v>-0.63764988009592316</v>
      </c>
      <c r="M30" s="342"/>
      <c r="N30" s="382"/>
      <c r="O30" s="382" t="s">
        <v>61</v>
      </c>
      <c r="P30" s="343">
        <v>14103790</v>
      </c>
      <c r="Q30" s="343">
        <v>54356754</v>
      </c>
      <c r="R30" s="343">
        <v>35793440</v>
      </c>
      <c r="S30" s="343">
        <v>42321014</v>
      </c>
      <c r="T30" s="343">
        <v>9593260</v>
      </c>
      <c r="U30" s="343">
        <v>15165400</v>
      </c>
      <c r="V30" s="343">
        <v>15752078</v>
      </c>
      <c r="W30" s="343">
        <v>30381867</v>
      </c>
      <c r="X30" s="343">
        <v>20381159</v>
      </c>
      <c r="Y30" s="343">
        <v>31692353.32</v>
      </c>
      <c r="Z30" s="343">
        <v>269541115.31999999</v>
      </c>
      <c r="AA30" s="382"/>
      <c r="AB30" s="382" t="s">
        <v>61</v>
      </c>
      <c r="AC30" s="469">
        <f t="shared" si="0"/>
        <v>156168258</v>
      </c>
      <c r="AD30" s="469">
        <f t="shared" si="1"/>
        <v>113372857.31999999</v>
      </c>
      <c r="AE30" s="382"/>
      <c r="AF30" s="382"/>
      <c r="AG30" s="382"/>
      <c r="AH30" s="512" t="s">
        <v>541</v>
      </c>
      <c r="AI30" s="469">
        <v>0</v>
      </c>
      <c r="AJ30" s="469">
        <v>16000</v>
      </c>
      <c r="AK30" s="382"/>
      <c r="AL30" s="512"/>
      <c r="AM30" s="469"/>
      <c r="AN30" s="469"/>
      <c r="AO30" s="382"/>
      <c r="AP30" s="382" t="s">
        <v>61</v>
      </c>
      <c r="AQ30" s="343">
        <v>14103790</v>
      </c>
      <c r="AR30" s="343">
        <v>54356754</v>
      </c>
      <c r="AS30" s="343">
        <v>35793440</v>
      </c>
      <c r="AT30" s="343">
        <v>42321014</v>
      </c>
      <c r="AU30" s="343">
        <v>9593260</v>
      </c>
      <c r="AV30" s="343">
        <v>15165400</v>
      </c>
      <c r="AW30" s="343">
        <v>15752078</v>
      </c>
      <c r="AX30" s="343">
        <v>30381867</v>
      </c>
      <c r="AY30" s="343">
        <v>20381159</v>
      </c>
      <c r="AZ30" s="343">
        <v>31692353.32</v>
      </c>
      <c r="BA30" s="343">
        <v>269541115.31999999</v>
      </c>
      <c r="BB30" s="382"/>
      <c r="BC30" s="382" t="s">
        <v>61</v>
      </c>
      <c r="BD30" s="469">
        <f t="shared" si="2"/>
        <v>156168258</v>
      </c>
      <c r="BE30" s="469">
        <f t="shared" si="3"/>
        <v>113372857.31999999</v>
      </c>
    </row>
    <row r="31" spans="3:57" ht="16.5" thickTop="1" thickBot="1">
      <c r="C31" s="428" t="s">
        <v>539</v>
      </c>
      <c r="D31" s="431">
        <v>0.125</v>
      </c>
      <c r="E31" s="364">
        <v>0.11053</v>
      </c>
      <c r="F31" s="430">
        <f t="shared" si="4"/>
        <v>-0.11575999999999997</v>
      </c>
      <c r="M31" s="342"/>
      <c r="N31" s="382"/>
      <c r="O31" s="382" t="s">
        <v>541</v>
      </c>
      <c r="P31" s="343"/>
      <c r="Q31" s="343"/>
      <c r="R31" s="343"/>
      <c r="S31" s="343"/>
      <c r="T31" s="343"/>
      <c r="U31" s="343">
        <v>16000</v>
      </c>
      <c r="V31" s="343"/>
      <c r="W31" s="343"/>
      <c r="X31" s="343"/>
      <c r="Y31" s="343"/>
      <c r="Z31" s="343">
        <v>16000</v>
      </c>
      <c r="AA31" s="382"/>
      <c r="AB31" s="382" t="s">
        <v>541</v>
      </c>
      <c r="AC31" s="469">
        <f t="shared" si="0"/>
        <v>0</v>
      </c>
      <c r="AD31" s="469">
        <f t="shared" si="1"/>
        <v>16000</v>
      </c>
      <c r="AE31" s="382"/>
      <c r="AF31" s="382"/>
      <c r="AG31" s="382"/>
      <c r="AH31" s="512" t="s">
        <v>229</v>
      </c>
      <c r="AI31" s="469">
        <v>2638</v>
      </c>
      <c r="AJ31" s="469">
        <v>0</v>
      </c>
      <c r="AK31" s="382"/>
      <c r="AL31" s="382"/>
      <c r="AM31" s="469">
        <f>SUM(AM6:AM29)</f>
        <v>1651111636.0000002</v>
      </c>
      <c r="AN31" s="469">
        <f>SUM(AN6:AN29)</f>
        <v>1560579250.6200001</v>
      </c>
      <c r="AO31" s="382"/>
      <c r="AP31" s="382" t="s">
        <v>541</v>
      </c>
      <c r="AQ31" s="343"/>
      <c r="AR31" s="343"/>
      <c r="AS31" s="343"/>
      <c r="AT31" s="343"/>
      <c r="AU31" s="343"/>
      <c r="AV31" s="343">
        <v>16000</v>
      </c>
      <c r="AW31" s="343"/>
      <c r="AX31" s="343"/>
      <c r="AY31" s="343"/>
      <c r="AZ31" s="343"/>
      <c r="BA31" s="343">
        <v>16000</v>
      </c>
      <c r="BB31" s="382"/>
      <c r="BC31" s="382" t="s">
        <v>541</v>
      </c>
      <c r="BD31" s="469">
        <f t="shared" si="2"/>
        <v>0</v>
      </c>
      <c r="BE31" s="469">
        <f t="shared" si="3"/>
        <v>16000</v>
      </c>
    </row>
    <row r="32" spans="3:57" ht="16.5" thickTop="1" thickBot="1">
      <c r="C32" s="428" t="s">
        <v>540</v>
      </c>
      <c r="D32" s="431">
        <v>1.423173E-2</v>
      </c>
      <c r="E32" s="364">
        <v>2.6110040000000001E-2</v>
      </c>
      <c r="F32" s="429">
        <f t="shared" si="4"/>
        <v>0.83463570486511496</v>
      </c>
      <c r="M32" s="342"/>
      <c r="N32" s="382"/>
      <c r="O32" s="383" t="s">
        <v>407</v>
      </c>
      <c r="P32" s="343">
        <v>331417437.8900001</v>
      </c>
      <c r="Q32" s="343">
        <v>327514745.44</v>
      </c>
      <c r="R32" s="343">
        <v>361970257.61999989</v>
      </c>
      <c r="S32" s="343">
        <v>310795578.11000007</v>
      </c>
      <c r="T32" s="343">
        <v>319413616.94</v>
      </c>
      <c r="U32" s="343">
        <v>295338444.12000006</v>
      </c>
      <c r="V32" s="343">
        <v>268702200.94999993</v>
      </c>
      <c r="W32" s="343">
        <v>304037514.82000005</v>
      </c>
      <c r="X32" s="343">
        <v>311774491.31000006</v>
      </c>
      <c r="Y32" s="343">
        <v>380726599.42000008</v>
      </c>
      <c r="Z32" s="343">
        <v>3211690886.6200004</v>
      </c>
      <c r="AA32" s="382"/>
      <c r="AB32" s="382"/>
      <c r="AC32" s="382"/>
      <c r="AD32" s="382"/>
      <c r="AE32" s="382"/>
      <c r="AF32" s="382"/>
      <c r="AG32" s="382"/>
      <c r="AH32" s="512" t="s">
        <v>407</v>
      </c>
      <c r="AI32" s="469">
        <v>1651114274.0000002</v>
      </c>
      <c r="AJ32" s="469">
        <v>1561276189.6200001</v>
      </c>
      <c r="AK32" s="382"/>
      <c r="AL32" s="382"/>
      <c r="AM32" s="382"/>
      <c r="AN32" s="382"/>
      <c r="AO32" s="382"/>
      <c r="AP32" s="383" t="s">
        <v>407</v>
      </c>
      <c r="AQ32" s="343">
        <v>331416911.89000022</v>
      </c>
      <c r="AR32" s="343">
        <v>327514219.44000006</v>
      </c>
      <c r="AS32" s="343">
        <v>361969727.62000024</v>
      </c>
      <c r="AT32" s="343">
        <v>310795052.10999995</v>
      </c>
      <c r="AU32" s="343">
        <v>319413086.93999982</v>
      </c>
      <c r="AV32" s="343">
        <v>295205412.11999983</v>
      </c>
      <c r="AW32" s="343">
        <v>268605934.94999993</v>
      </c>
      <c r="AX32" s="343">
        <v>303868880.81999987</v>
      </c>
      <c r="AY32" s="343">
        <v>311709631.30999988</v>
      </c>
      <c r="AZ32" s="343">
        <v>380492452.4199999</v>
      </c>
      <c r="BA32" s="343">
        <v>3210991309.6199999</v>
      </c>
      <c r="BB32" s="382"/>
      <c r="BC32" s="382"/>
      <c r="BD32" s="382"/>
      <c r="BE32" s="382"/>
    </row>
    <row r="33" spans="3:124" ht="16.5" thickTop="1" thickBot="1">
      <c r="C33" s="428" t="s">
        <v>541</v>
      </c>
      <c r="D33" s="431">
        <v>0</v>
      </c>
      <c r="E33" s="364">
        <v>1.6E-2</v>
      </c>
      <c r="F33" s="429" t="s">
        <v>159</v>
      </c>
      <c r="M33" s="342"/>
      <c r="N33" s="342"/>
      <c r="AA33" s="382"/>
      <c r="AB33" s="382"/>
      <c r="AC33" s="469">
        <f>SUM(AC6:AC31)</f>
        <v>1651114274.0000002</v>
      </c>
      <c r="AD33" s="469">
        <f>SUM(AD6:AD31)</f>
        <v>1561276189.6200001</v>
      </c>
      <c r="AE33" s="382"/>
      <c r="AF33" s="382"/>
      <c r="AG33" s="382"/>
      <c r="AH33" s="382"/>
      <c r="AI33" s="469"/>
      <c r="AJ33" s="469"/>
      <c r="AK33" s="382"/>
      <c r="AL33" s="382"/>
      <c r="AM33" s="382"/>
      <c r="AN33" s="382"/>
      <c r="AO33" s="382"/>
      <c r="AP33" s="382"/>
      <c r="AQ33" s="382"/>
      <c r="AR33" s="382"/>
      <c r="AS33" s="382"/>
      <c r="AT33" s="382"/>
      <c r="AU33" s="382"/>
      <c r="AV33" s="382"/>
      <c r="AW33" s="382"/>
      <c r="AX33" s="382"/>
      <c r="AY33" s="382"/>
      <c r="AZ33" s="382"/>
      <c r="BA33" s="382"/>
      <c r="BB33" s="382"/>
      <c r="BC33" s="382"/>
      <c r="BD33" s="382"/>
      <c r="BE33" s="382"/>
    </row>
    <row r="34" spans="3:124" ht="16.5" thickTop="1" thickBot="1">
      <c r="C34" s="432" t="s">
        <v>542</v>
      </c>
      <c r="D34" s="433">
        <v>1651.1116360000003</v>
      </c>
      <c r="E34" s="434">
        <v>1560.57925062</v>
      </c>
      <c r="F34" s="430">
        <f t="shared" si="4"/>
        <v>-5.48311715610732E-2</v>
      </c>
      <c r="M34" s="342"/>
      <c r="N34" s="342"/>
      <c r="O34" s="342"/>
      <c r="AA34" s="382"/>
      <c r="AB34" s="382"/>
      <c r="AC34" s="382"/>
      <c r="AD34" s="382"/>
      <c r="AE34" s="382"/>
      <c r="AF34" s="382"/>
      <c r="AG34" s="382"/>
      <c r="AH34" s="382"/>
      <c r="AI34" s="469"/>
      <c r="AJ34" s="469"/>
      <c r="AK34" s="382"/>
      <c r="AL34" s="382"/>
      <c r="AM34" s="382"/>
      <c r="AN34" s="382"/>
      <c r="AO34" s="382"/>
      <c r="AP34" s="382"/>
      <c r="AQ34" s="382"/>
      <c r="AR34" s="382"/>
      <c r="AS34" s="382"/>
      <c r="AT34" s="382"/>
      <c r="AU34" s="382"/>
      <c r="AV34" s="382"/>
      <c r="AW34" s="382"/>
      <c r="AX34" s="382"/>
      <c r="AY34" s="382"/>
      <c r="AZ34" s="382"/>
      <c r="BA34" s="382"/>
      <c r="BB34" s="382"/>
      <c r="BC34" s="382"/>
      <c r="BD34" s="382"/>
      <c r="BE34" s="382"/>
    </row>
    <row r="35" spans="3:124" ht="15.75" thickTop="1">
      <c r="C35" s="435" t="s">
        <v>543</v>
      </c>
      <c r="D35" s="436"/>
      <c r="E35" s="436"/>
      <c r="F35" s="436"/>
      <c r="G35" s="437"/>
      <c r="I35" s="587"/>
      <c r="J35" s="587"/>
      <c r="K35" s="587"/>
      <c r="L35" s="587"/>
      <c r="M35" s="587"/>
      <c r="N35" s="587"/>
      <c r="O35" s="587"/>
      <c r="AA35" s="382"/>
      <c r="AB35" s="382"/>
      <c r="AC35" s="382"/>
      <c r="AD35" s="382"/>
      <c r="AE35" s="382"/>
      <c r="AF35" s="382"/>
      <c r="AG35" s="382"/>
      <c r="AH35" s="382"/>
      <c r="AI35" s="469"/>
      <c r="AJ35" s="469"/>
      <c r="AK35" s="382"/>
      <c r="AL35" s="382"/>
      <c r="AM35" s="382"/>
      <c r="AN35" s="382"/>
      <c r="AO35" s="382"/>
      <c r="AP35" s="382"/>
      <c r="AQ35" s="382"/>
      <c r="AR35" s="382"/>
      <c r="AS35" s="382"/>
      <c r="AT35" s="382"/>
      <c r="AU35" s="382"/>
      <c r="AV35" s="382"/>
      <c r="AW35" s="382"/>
      <c r="AX35" s="382"/>
      <c r="AY35" s="382"/>
      <c r="AZ35" s="382"/>
      <c r="BA35" s="382"/>
      <c r="BB35" s="382"/>
      <c r="BC35" s="382"/>
      <c r="BD35" s="382"/>
      <c r="BE35" s="382"/>
      <c r="BF35" s="342"/>
      <c r="BG35" s="342"/>
      <c r="BH35" s="342"/>
      <c r="BI35" s="342"/>
      <c r="BJ35" s="342"/>
      <c r="BK35" s="342"/>
      <c r="BL35" s="342"/>
      <c r="BM35" s="342"/>
      <c r="BN35" s="342"/>
      <c r="BO35" s="342"/>
      <c r="BP35" s="342"/>
      <c r="BQ35" s="342"/>
      <c r="BR35" s="342"/>
      <c r="BS35" s="342"/>
      <c r="BT35" s="342"/>
      <c r="BU35" s="342"/>
      <c r="BV35" s="342"/>
      <c r="BW35" s="342"/>
      <c r="BX35" s="342"/>
      <c r="BY35" s="342"/>
      <c r="BZ35" s="342"/>
      <c r="CA35" s="342"/>
      <c r="CB35" s="342"/>
      <c r="CC35" s="342"/>
      <c r="CD35" s="342"/>
      <c r="CE35" s="342"/>
      <c r="CF35" s="342"/>
      <c r="CG35" s="342"/>
      <c r="CH35" s="342"/>
      <c r="CI35" s="342"/>
      <c r="CJ35" s="342"/>
      <c r="CK35" s="342"/>
      <c r="CL35" s="342"/>
      <c r="CM35" s="342"/>
      <c r="CN35" s="342"/>
      <c r="CO35" s="342"/>
      <c r="CP35" s="342"/>
      <c r="CQ35" s="342"/>
      <c r="CR35" s="342"/>
      <c r="CS35" s="342"/>
      <c r="CT35" s="342"/>
      <c r="CU35" s="342"/>
      <c r="CV35" s="342"/>
      <c r="CW35" s="342"/>
      <c r="CX35" s="342"/>
      <c r="CY35" s="342"/>
      <c r="CZ35" s="342"/>
      <c r="DA35" s="342"/>
      <c r="DB35" s="342"/>
      <c r="DC35" s="342"/>
      <c r="DD35" s="342"/>
      <c r="DE35" s="342"/>
      <c r="DF35" s="342"/>
      <c r="DG35" s="342"/>
      <c r="DH35" s="342"/>
    </row>
    <row r="36" spans="3:124">
      <c r="C36" s="588" t="s">
        <v>423</v>
      </c>
      <c r="D36" s="589"/>
      <c r="E36" s="589"/>
      <c r="F36" s="589"/>
      <c r="G36" s="438"/>
      <c r="I36" s="587"/>
      <c r="J36" s="587"/>
      <c r="K36" s="587"/>
      <c r="L36" s="587"/>
      <c r="M36" s="587"/>
      <c r="N36" s="587"/>
      <c r="O36" s="587"/>
      <c r="R36" s="382"/>
      <c r="S36" s="382"/>
      <c r="T36" s="382"/>
      <c r="U36" s="382"/>
      <c r="V36" s="382"/>
      <c r="W36" s="382"/>
      <c r="X36" s="382"/>
      <c r="Y36" s="382"/>
      <c r="Z36" s="382"/>
      <c r="AA36" s="382"/>
      <c r="AB36" s="382"/>
      <c r="AC36" s="382"/>
      <c r="AD36" s="382"/>
      <c r="AE36" s="382"/>
      <c r="AF36" s="382"/>
      <c r="AG36" s="382"/>
      <c r="AH36" s="382"/>
      <c r="AI36" s="469"/>
      <c r="AJ36" s="469"/>
      <c r="AK36" s="382"/>
      <c r="AL36" s="382"/>
      <c r="AM36" s="535" t="s">
        <v>530</v>
      </c>
      <c r="AN36" s="535">
        <v>2016</v>
      </c>
      <c r="AO36" s="535">
        <v>2017</v>
      </c>
      <c r="AP36" s="382"/>
      <c r="AQ36" s="382"/>
      <c r="AR36" s="382"/>
      <c r="AS36" s="382"/>
      <c r="AT36" s="382"/>
      <c r="AU36" s="382"/>
      <c r="AV36" s="382"/>
      <c r="AW36" s="382"/>
      <c r="AX36" s="382"/>
      <c r="AY36" s="382"/>
      <c r="AZ36" s="382"/>
      <c r="BA36" s="382"/>
      <c r="BB36" s="382"/>
      <c r="BC36" s="382"/>
      <c r="BD36" s="382"/>
      <c r="BE36" s="382"/>
      <c r="BF36" s="342"/>
      <c r="BG36" s="342"/>
      <c r="BH36" s="342"/>
      <c r="BI36" s="342"/>
      <c r="BJ36" s="342"/>
      <c r="BK36" s="342"/>
      <c r="BL36" s="342"/>
      <c r="BM36" s="342"/>
      <c r="BN36" s="342"/>
      <c r="BO36" s="342"/>
      <c r="BP36" s="342"/>
      <c r="BQ36" s="342"/>
      <c r="BR36" s="342"/>
      <c r="BS36" s="342"/>
      <c r="BT36" s="342"/>
      <c r="BU36" s="342"/>
      <c r="BV36" s="342"/>
      <c r="BW36" s="342"/>
      <c r="BX36" s="342"/>
      <c r="BY36" s="342"/>
      <c r="BZ36" s="342"/>
      <c r="CA36" s="342"/>
      <c r="CB36" s="342"/>
      <c r="CC36" s="342"/>
      <c r="CD36" s="342"/>
      <c r="CE36" s="342"/>
      <c r="CF36" s="342"/>
      <c r="CG36" s="342"/>
      <c r="CH36" s="342"/>
      <c r="CI36" s="342"/>
      <c r="CJ36" s="342"/>
      <c r="CK36" s="342"/>
      <c r="CL36" s="342"/>
      <c r="CM36" s="342"/>
      <c r="CN36" s="342"/>
      <c r="CO36" s="342"/>
      <c r="CP36" s="342"/>
      <c r="CQ36" s="342"/>
      <c r="CR36" s="342"/>
      <c r="CS36" s="342"/>
      <c r="CT36" s="342"/>
      <c r="CU36" s="342"/>
      <c r="CV36" s="342"/>
      <c r="CW36" s="342"/>
      <c r="CX36" s="342"/>
      <c r="CY36" s="342"/>
      <c r="CZ36" s="342"/>
      <c r="DA36" s="342"/>
      <c r="DB36" s="342"/>
      <c r="DC36" s="342"/>
      <c r="DD36" s="342"/>
      <c r="DE36" s="342"/>
      <c r="DF36" s="342"/>
      <c r="DG36" s="342"/>
      <c r="DH36" s="342"/>
    </row>
    <row r="37" spans="3:124" ht="15.75" thickBot="1">
      <c r="C37" s="380"/>
      <c r="D37" s="380"/>
      <c r="E37" s="380"/>
      <c r="F37" s="380"/>
      <c r="G37" s="439"/>
      <c r="R37" s="382" t="s">
        <v>402</v>
      </c>
      <c r="S37" s="382"/>
      <c r="T37" s="382"/>
      <c r="U37" s="382" t="s">
        <v>428</v>
      </c>
      <c r="V37" s="382"/>
      <c r="W37" s="382"/>
      <c r="X37" s="382"/>
      <c r="Y37" s="382"/>
      <c r="Z37" s="382"/>
      <c r="AA37" s="382"/>
      <c r="AB37" s="382"/>
      <c r="AC37" s="382"/>
      <c r="AD37" s="382"/>
      <c r="AE37" s="382"/>
      <c r="AF37" s="382"/>
      <c r="AG37" s="382"/>
      <c r="AH37" s="382"/>
      <c r="AI37" s="469"/>
      <c r="AJ37" s="469"/>
      <c r="AK37" s="382"/>
      <c r="AL37" s="382"/>
      <c r="AM37" s="382" t="s">
        <v>534</v>
      </c>
      <c r="AN37" s="469">
        <v>291839</v>
      </c>
      <c r="AO37" s="469">
        <v>213337</v>
      </c>
      <c r="AP37" s="382"/>
      <c r="AQ37" s="530" t="s">
        <v>531</v>
      </c>
      <c r="AR37" s="530" t="s">
        <v>532</v>
      </c>
      <c r="AS37" s="382" t="s">
        <v>533</v>
      </c>
      <c r="AT37" s="382"/>
      <c r="AU37" s="469"/>
      <c r="AV37" s="469"/>
      <c r="AW37" s="469"/>
      <c r="AX37" s="382"/>
      <c r="AY37" s="382"/>
      <c r="AZ37" s="382"/>
      <c r="BA37" s="382"/>
      <c r="BB37" s="382"/>
      <c r="BC37" s="382"/>
      <c r="BD37" s="382"/>
      <c r="BE37" s="382"/>
      <c r="BF37" s="342"/>
      <c r="BG37" s="342"/>
      <c r="BH37" s="342"/>
      <c r="BI37" s="342"/>
      <c r="BJ37" s="342"/>
      <c r="BK37" s="342"/>
      <c r="BL37" s="342"/>
      <c r="BM37" s="342"/>
      <c r="BN37" s="342"/>
      <c r="BO37" s="342"/>
      <c r="BP37" s="342"/>
      <c r="BQ37" s="342"/>
      <c r="BR37" s="342"/>
      <c r="BS37" s="342"/>
      <c r="BT37" s="342"/>
      <c r="BU37" s="342"/>
      <c r="BV37" s="342"/>
      <c r="BW37" s="342"/>
      <c r="BX37" s="342"/>
      <c r="BY37" s="342"/>
      <c r="BZ37" s="342"/>
      <c r="CA37" s="342"/>
      <c r="CB37" s="342"/>
      <c r="CC37" s="342"/>
      <c r="CD37" s="342"/>
      <c r="CE37" s="342"/>
      <c r="CF37" s="342"/>
      <c r="CG37" s="342"/>
      <c r="CH37" s="342"/>
      <c r="CI37" s="342"/>
      <c r="CJ37" s="342"/>
      <c r="CK37" s="342"/>
      <c r="CL37" s="342"/>
      <c r="CM37" s="342"/>
      <c r="CN37" s="342"/>
      <c r="CO37" s="342"/>
      <c r="CP37" s="342"/>
      <c r="CQ37" s="342"/>
      <c r="CR37" s="342"/>
      <c r="CS37" s="342"/>
      <c r="CT37" s="342"/>
      <c r="CU37" s="342"/>
      <c r="CV37" s="342"/>
      <c r="CW37" s="342"/>
      <c r="CX37" s="342"/>
      <c r="CY37" s="342"/>
      <c r="CZ37" s="342"/>
      <c r="DA37" s="342"/>
      <c r="DB37" s="342"/>
      <c r="DC37" s="342"/>
      <c r="DD37" s="342"/>
      <c r="DE37" s="342"/>
      <c r="DF37" s="342"/>
      <c r="DG37" s="342"/>
      <c r="DH37" s="342"/>
    </row>
    <row r="38" spans="3:124">
      <c r="C38" s="578" t="s">
        <v>762</v>
      </c>
      <c r="D38" s="579"/>
      <c r="E38" s="579"/>
      <c r="F38" s="579"/>
      <c r="G38" s="579"/>
      <c r="R38" s="382" t="s">
        <v>530</v>
      </c>
      <c r="S38" s="382" t="s">
        <v>515</v>
      </c>
      <c r="T38" s="382" t="s">
        <v>544</v>
      </c>
      <c r="U38" s="382" t="s">
        <v>429</v>
      </c>
      <c r="V38" s="382" t="s">
        <v>430</v>
      </c>
      <c r="W38" s="382" t="s">
        <v>431</v>
      </c>
      <c r="X38" s="382" t="s">
        <v>432</v>
      </c>
      <c r="Y38" s="382" t="s">
        <v>719</v>
      </c>
      <c r="Z38" s="382" t="s">
        <v>433</v>
      </c>
      <c r="AA38" s="382" t="s">
        <v>434</v>
      </c>
      <c r="AB38" s="382" t="s">
        <v>435</v>
      </c>
      <c r="AC38" s="382" t="s">
        <v>436</v>
      </c>
      <c r="AD38" s="382" t="s">
        <v>705</v>
      </c>
      <c r="AE38" s="383" t="s">
        <v>407</v>
      </c>
      <c r="AF38" s="382"/>
      <c r="AG38" s="382"/>
      <c r="AH38" s="382">
        <v>2016</v>
      </c>
      <c r="AI38" s="469">
        <v>2017</v>
      </c>
      <c r="AJ38" s="469"/>
      <c r="AK38" s="382"/>
      <c r="AL38" s="382"/>
      <c r="AM38" s="382" t="s">
        <v>57</v>
      </c>
      <c r="AN38" s="469">
        <v>104543262.51000002</v>
      </c>
      <c r="AO38" s="469">
        <f>85999812.3+AI39</f>
        <v>86263812.299999997</v>
      </c>
      <c r="AP38" s="382"/>
      <c r="AQ38" s="512" t="s">
        <v>60</v>
      </c>
      <c r="AR38" s="469">
        <v>282538507.74000001</v>
      </c>
      <c r="AS38" s="469">
        <v>287779874.83000004</v>
      </c>
      <c r="AT38" s="382"/>
      <c r="AU38" s="469">
        <v>282538</v>
      </c>
      <c r="AV38" s="469"/>
      <c r="AW38" s="469"/>
      <c r="AX38" s="382"/>
      <c r="AY38" s="382"/>
      <c r="AZ38" s="382"/>
      <c r="BA38" s="382"/>
      <c r="BB38" s="382"/>
      <c r="BC38" s="382"/>
      <c r="BD38" s="382"/>
      <c r="BE38" s="382"/>
      <c r="BF38" s="342"/>
      <c r="BG38" s="342"/>
      <c r="BH38" s="342"/>
      <c r="BI38" s="342"/>
      <c r="BJ38" s="342"/>
      <c r="BK38" s="342"/>
      <c r="BL38" s="342"/>
      <c r="BM38" s="342"/>
      <c r="BN38" s="342"/>
      <c r="BO38" s="342"/>
      <c r="BP38" s="342"/>
      <c r="BQ38" s="342"/>
      <c r="BR38" s="342"/>
      <c r="BS38" s="342"/>
      <c r="BT38" s="342"/>
      <c r="BU38" s="342"/>
      <c r="BV38" s="342"/>
      <c r="BW38" s="342"/>
      <c r="BX38" s="342"/>
      <c r="BY38" s="342"/>
      <c r="BZ38" s="342"/>
      <c r="CA38" s="342"/>
      <c r="CB38" s="342"/>
      <c r="CC38" s="342"/>
      <c r="CD38" s="342"/>
      <c r="CE38" s="342"/>
      <c r="CF38" s="342"/>
      <c r="CG38" s="342"/>
      <c r="CH38" s="342"/>
      <c r="CI38" s="342"/>
      <c r="CJ38" s="342"/>
      <c r="CK38" s="342"/>
      <c r="CL38" s="342"/>
      <c r="CM38" s="342"/>
      <c r="CN38" s="342"/>
      <c r="CO38" s="342"/>
      <c r="CP38" s="342"/>
      <c r="CQ38" s="342"/>
      <c r="CR38" s="342"/>
      <c r="CS38" s="342"/>
      <c r="CT38" s="342"/>
      <c r="CU38" s="342"/>
      <c r="CV38" s="342"/>
      <c r="CW38" s="342"/>
      <c r="CX38" s="342"/>
      <c r="CY38" s="342"/>
      <c r="CZ38" s="342"/>
      <c r="DA38" s="342"/>
      <c r="DB38" s="342"/>
      <c r="DC38" s="342"/>
      <c r="DD38" s="342"/>
      <c r="DE38" s="342"/>
      <c r="DF38" s="342"/>
      <c r="DG38" s="342"/>
      <c r="DH38" s="342"/>
    </row>
    <row r="39" spans="3:124" ht="15.75" thickBot="1">
      <c r="C39" s="580"/>
      <c r="D39" s="581"/>
      <c r="E39" s="581"/>
      <c r="F39" s="581"/>
      <c r="G39" s="581"/>
      <c r="H39" s="364"/>
      <c r="R39" s="382" t="s">
        <v>545</v>
      </c>
      <c r="S39" s="382" t="s">
        <v>546</v>
      </c>
      <c r="T39" s="382" t="s">
        <v>547</v>
      </c>
      <c r="U39" s="343"/>
      <c r="V39" s="343"/>
      <c r="W39" s="343"/>
      <c r="X39" s="343"/>
      <c r="Y39" s="343"/>
      <c r="Z39" s="343">
        <v>91000</v>
      </c>
      <c r="AA39" s="343">
        <v>43000</v>
      </c>
      <c r="AB39" s="343">
        <v>43000</v>
      </c>
      <c r="AC39" s="343">
        <v>45000</v>
      </c>
      <c r="AD39" s="343">
        <v>42000</v>
      </c>
      <c r="AE39" s="343">
        <v>264000</v>
      </c>
      <c r="AF39" s="382"/>
      <c r="AG39" s="382" t="s">
        <v>57</v>
      </c>
      <c r="AH39" s="469">
        <f>SUM(U39:Y39)</f>
        <v>0</v>
      </c>
      <c r="AI39" s="469">
        <f>SUM(Z39:AD39)</f>
        <v>264000</v>
      </c>
      <c r="AJ39" s="469"/>
      <c r="AK39" s="382"/>
      <c r="AL39" s="469"/>
      <c r="AM39" s="469" t="s">
        <v>217</v>
      </c>
      <c r="AN39" s="469">
        <v>158957125.03</v>
      </c>
      <c r="AO39" s="469">
        <f>AI45+56206916.98</f>
        <v>56540886.979999997</v>
      </c>
      <c r="AP39" s="382"/>
      <c r="AQ39" s="512" t="s">
        <v>58</v>
      </c>
      <c r="AR39" s="469">
        <v>160759297.09</v>
      </c>
      <c r="AS39" s="469">
        <v>237801498.47</v>
      </c>
      <c r="AT39" s="382"/>
      <c r="AU39" s="469">
        <v>160759</v>
      </c>
      <c r="AV39" s="469"/>
      <c r="AW39" s="469"/>
      <c r="AX39" s="382"/>
      <c r="AY39" s="382"/>
      <c r="AZ39" s="382"/>
      <c r="BA39" s="382"/>
      <c r="BB39" s="382"/>
      <c r="BC39" s="382"/>
      <c r="BD39" s="382"/>
      <c r="BE39" s="382"/>
      <c r="BF39" s="342"/>
      <c r="BG39" s="342"/>
      <c r="BH39" s="342"/>
      <c r="BI39" s="342"/>
      <c r="BJ39" s="342"/>
      <c r="BK39" s="342"/>
      <c r="BL39" s="342"/>
      <c r="BM39" s="342"/>
      <c r="BN39" s="342"/>
      <c r="BO39" s="342"/>
      <c r="BP39" s="342"/>
      <c r="BQ39" s="342"/>
      <c r="BR39" s="342"/>
      <c r="BS39" s="342"/>
      <c r="BT39" s="342"/>
      <c r="BU39" s="342"/>
      <c r="BV39" s="342"/>
      <c r="BW39" s="342"/>
      <c r="BX39" s="342"/>
      <c r="BY39" s="342"/>
      <c r="BZ39" s="342"/>
      <c r="CA39" s="342"/>
      <c r="CB39" s="342"/>
      <c r="CC39" s="342"/>
      <c r="CD39" s="342"/>
      <c r="CE39" s="342"/>
      <c r="CF39" s="342"/>
      <c r="CG39" s="342"/>
      <c r="CH39" s="342"/>
      <c r="CI39" s="342"/>
      <c r="CJ39" s="342"/>
      <c r="CK39" s="342"/>
      <c r="CL39" s="342"/>
      <c r="CM39" s="342"/>
      <c r="CN39" s="342"/>
      <c r="CO39" s="342"/>
      <c r="CP39" s="342"/>
      <c r="CQ39" s="342"/>
      <c r="CR39" s="342"/>
      <c r="CS39" s="342"/>
      <c r="CT39" s="342"/>
      <c r="CU39" s="342"/>
      <c r="CV39" s="342"/>
      <c r="CW39" s="342"/>
      <c r="CX39" s="342"/>
      <c r="CY39" s="342"/>
      <c r="CZ39" s="342"/>
      <c r="DA39" s="342"/>
      <c r="DB39" s="342"/>
      <c r="DC39" s="342"/>
      <c r="DD39" s="342"/>
      <c r="DE39" s="342"/>
      <c r="DF39" s="342"/>
      <c r="DG39" s="344"/>
      <c r="DH39" s="342"/>
      <c r="DJ39" s="291">
        <v>2007</v>
      </c>
      <c r="DK39" s="291">
        <v>2008</v>
      </c>
      <c r="DL39" s="291">
        <v>2009</v>
      </c>
      <c r="DM39" s="291">
        <v>2010</v>
      </c>
      <c r="DN39" s="291">
        <v>2011</v>
      </c>
      <c r="DO39" s="291">
        <v>2012</v>
      </c>
      <c r="DP39" s="291">
        <v>2013</v>
      </c>
      <c r="DQ39" s="291">
        <v>2014</v>
      </c>
      <c r="DR39" s="291">
        <v>2015</v>
      </c>
      <c r="DS39" s="291">
        <v>2016</v>
      </c>
      <c r="DT39" s="291">
        <v>2017</v>
      </c>
    </row>
    <row r="40" spans="3:124" ht="15.75" thickBot="1">
      <c r="D40" s="364"/>
      <c r="E40" s="364"/>
      <c r="F40" s="364"/>
      <c r="G40" s="364"/>
      <c r="H40" s="369"/>
      <c r="I40" s="440"/>
      <c r="J40" s="369"/>
      <c r="R40" s="382"/>
      <c r="S40" s="382" t="s">
        <v>548</v>
      </c>
      <c r="T40" s="382"/>
      <c r="U40" s="343"/>
      <c r="V40" s="343"/>
      <c r="W40" s="343"/>
      <c r="X40" s="343"/>
      <c r="Y40" s="343"/>
      <c r="Z40" s="343">
        <v>91000</v>
      </c>
      <c r="AA40" s="343">
        <v>43000</v>
      </c>
      <c r="AB40" s="343">
        <v>43000</v>
      </c>
      <c r="AC40" s="343">
        <v>45000</v>
      </c>
      <c r="AD40" s="343">
        <v>42000</v>
      </c>
      <c r="AE40" s="343">
        <v>264000</v>
      </c>
      <c r="AF40" s="382"/>
      <c r="AG40" s="382"/>
      <c r="AH40" s="469">
        <f t="shared" ref="AH40:AH50" si="5">SUM(U40:Y40)</f>
        <v>0</v>
      </c>
      <c r="AI40" s="469">
        <f t="shared" ref="AI40:AI50" si="6">SUM(Z40:AD40)</f>
        <v>264000</v>
      </c>
      <c r="AJ40" s="469"/>
      <c r="AK40" s="382"/>
      <c r="AL40" s="469"/>
      <c r="AM40" s="469" t="s">
        <v>58</v>
      </c>
      <c r="AN40" s="469">
        <f>AH48+160756659.09</f>
        <v>160759297.09</v>
      </c>
      <c r="AO40" s="469">
        <v>237801498.47</v>
      </c>
      <c r="AP40" s="382"/>
      <c r="AQ40" s="512" t="s">
        <v>70</v>
      </c>
      <c r="AR40" s="469">
        <v>200941444.95999998</v>
      </c>
      <c r="AS40" s="469">
        <v>224690250.30000001</v>
      </c>
      <c r="AT40" s="382"/>
      <c r="AU40" s="469">
        <v>200941</v>
      </c>
      <c r="AV40" s="469"/>
      <c r="AW40" s="469"/>
      <c r="AX40" s="382"/>
      <c r="AY40" s="382"/>
      <c r="AZ40" s="382"/>
      <c r="BA40" s="382"/>
      <c r="BB40" s="382"/>
      <c r="BC40" s="382"/>
      <c r="BD40" s="343"/>
      <c r="BE40" s="343"/>
      <c r="BF40" s="346"/>
      <c r="BG40" s="346"/>
      <c r="BH40" s="346"/>
      <c r="BI40" s="346"/>
      <c r="BJ40" s="346"/>
      <c r="BK40" s="346"/>
      <c r="BL40" s="346"/>
      <c r="BM40" s="346"/>
      <c r="BN40" s="346"/>
      <c r="BO40" s="346"/>
      <c r="BP40" s="346"/>
      <c r="BQ40" s="346"/>
      <c r="BR40" s="346"/>
      <c r="BS40" s="346"/>
      <c r="BT40" s="346"/>
      <c r="BU40" s="346"/>
      <c r="BV40" s="346"/>
      <c r="BW40" s="346"/>
      <c r="BX40" s="346"/>
      <c r="BY40" s="346"/>
      <c r="BZ40" s="346"/>
      <c r="CA40" s="346"/>
      <c r="CB40" s="346"/>
      <c r="CC40" s="346"/>
      <c r="CD40" s="346"/>
      <c r="CE40" s="346"/>
      <c r="CF40" s="346"/>
      <c r="CG40" s="346"/>
      <c r="CH40" s="346"/>
      <c r="CI40" s="346"/>
      <c r="CJ40" s="346"/>
      <c r="CK40" s="346"/>
      <c r="CL40" s="346"/>
      <c r="CM40" s="346"/>
      <c r="CN40" s="346"/>
      <c r="CO40" s="346"/>
      <c r="CP40" s="346"/>
      <c r="CQ40" s="346"/>
      <c r="CR40" s="346"/>
      <c r="CS40" s="346"/>
      <c r="CT40" s="346"/>
      <c r="CU40" s="346"/>
      <c r="CV40" s="346"/>
      <c r="CW40" s="346"/>
      <c r="CX40" s="346"/>
      <c r="CY40" s="346"/>
      <c r="CZ40" s="346"/>
      <c r="DA40" s="346"/>
      <c r="DB40" s="346"/>
      <c r="DC40" s="346"/>
      <c r="DD40" s="346"/>
      <c r="DE40" s="346"/>
      <c r="DF40" s="346"/>
      <c r="DG40" s="346"/>
      <c r="DH40" s="342"/>
      <c r="DJ40" s="364">
        <f>SUM(BD40:BH40)</f>
        <v>0</v>
      </c>
      <c r="DK40" s="364">
        <f>SUM(BI40:BM40)</f>
        <v>0</v>
      </c>
      <c r="DL40" s="364">
        <f>SUM(BN40:BR40)</f>
        <v>0</v>
      </c>
      <c r="DM40" s="364">
        <f>SUM(BS40:BW40)</f>
        <v>0</v>
      </c>
      <c r="DN40" s="364">
        <f>SUM(BX40:CB40)</f>
        <v>0</v>
      </c>
      <c r="DO40" s="364">
        <f>SUM('[2]Inversiones 4'!CK40:CO40)</f>
        <v>0</v>
      </c>
      <c r="DP40" s="364">
        <f>SUM(CH40:CL40)</f>
        <v>0</v>
      </c>
      <c r="DQ40" s="364">
        <f>SUM(CM40:CQ40)</f>
        <v>0</v>
      </c>
      <c r="DR40" s="364">
        <f>SUM(CR40:CV40)</f>
        <v>0</v>
      </c>
      <c r="DS40" s="364">
        <f>SUM(CW40:DA40)</f>
        <v>0</v>
      </c>
      <c r="DT40" s="364">
        <f>SUM(DB40:DF40)</f>
        <v>0</v>
      </c>
    </row>
    <row r="41" spans="3:124" ht="16.5" thickTop="1" thickBot="1">
      <c r="C41" s="441" t="s">
        <v>552</v>
      </c>
      <c r="D41" s="442">
        <v>2007</v>
      </c>
      <c r="E41" s="442">
        <v>2008</v>
      </c>
      <c r="F41" s="442">
        <v>2009</v>
      </c>
      <c r="G41" s="442">
        <v>2010</v>
      </c>
      <c r="R41" s="382"/>
      <c r="S41" s="382" t="s">
        <v>549</v>
      </c>
      <c r="T41" s="382" t="s">
        <v>550</v>
      </c>
      <c r="U41" s="343"/>
      <c r="V41" s="343"/>
      <c r="W41" s="343"/>
      <c r="X41" s="343"/>
      <c r="Y41" s="343"/>
      <c r="Z41" s="343"/>
      <c r="AA41" s="343"/>
      <c r="AB41" s="343">
        <v>39636</v>
      </c>
      <c r="AC41" s="343">
        <v>19860</v>
      </c>
      <c r="AD41" s="343">
        <v>39473</v>
      </c>
      <c r="AE41" s="343">
        <v>98969</v>
      </c>
      <c r="AF41" s="382"/>
      <c r="AG41" s="382" t="s">
        <v>70</v>
      </c>
      <c r="AH41" s="469">
        <f t="shared" si="5"/>
        <v>0</v>
      </c>
      <c r="AI41" s="469">
        <f t="shared" si="6"/>
        <v>98969</v>
      </c>
      <c r="AJ41" s="469"/>
      <c r="AK41" s="382"/>
      <c r="AL41" s="382"/>
      <c r="AM41" s="382" t="s">
        <v>71</v>
      </c>
      <c r="AN41" s="469">
        <v>25904049.710000001</v>
      </c>
      <c r="AO41" s="469">
        <v>26481793.91</v>
      </c>
      <c r="AP41" s="382"/>
      <c r="AQ41" s="512" t="s">
        <v>61</v>
      </c>
      <c r="AR41" s="469">
        <v>156168258</v>
      </c>
      <c r="AS41" s="469">
        <v>113372857.31999999</v>
      </c>
      <c r="AT41" s="382"/>
      <c r="AU41" s="469">
        <v>156168</v>
      </c>
      <c r="AV41" s="469"/>
      <c r="AW41" s="469"/>
      <c r="AX41" s="382"/>
      <c r="AY41" s="382"/>
      <c r="AZ41" s="382"/>
      <c r="BA41" s="382"/>
      <c r="BB41" s="382"/>
      <c r="BC41" s="382"/>
      <c r="BD41" s="343"/>
      <c r="BE41" s="343"/>
      <c r="BF41" s="346"/>
      <c r="BG41" s="346"/>
      <c r="BH41" s="346"/>
      <c r="BI41" s="346"/>
      <c r="BJ41" s="346"/>
      <c r="BK41" s="346"/>
      <c r="BL41" s="346"/>
      <c r="BM41" s="346"/>
      <c r="BN41" s="346"/>
      <c r="BO41" s="346"/>
      <c r="BP41" s="346"/>
      <c r="BQ41" s="346"/>
      <c r="BR41" s="346"/>
      <c r="BS41" s="346"/>
      <c r="BT41" s="346"/>
      <c r="BU41" s="346"/>
      <c r="BV41" s="346"/>
      <c r="BW41" s="346"/>
      <c r="BX41" s="346"/>
      <c r="BY41" s="346"/>
      <c r="BZ41" s="346"/>
      <c r="CA41" s="346"/>
      <c r="CB41" s="346"/>
      <c r="CC41" s="346"/>
      <c r="CD41" s="346"/>
      <c r="CE41" s="346"/>
      <c r="CF41" s="346"/>
      <c r="CG41" s="346"/>
      <c r="CH41" s="346"/>
      <c r="CI41" s="346"/>
      <c r="CJ41" s="346"/>
      <c r="CK41" s="346"/>
      <c r="CL41" s="346"/>
      <c r="CM41" s="346"/>
      <c r="CN41" s="346"/>
      <c r="CO41" s="346"/>
      <c r="CP41" s="346"/>
      <c r="CQ41" s="346"/>
      <c r="CR41" s="346"/>
      <c r="CS41" s="346"/>
      <c r="CT41" s="346"/>
      <c r="CU41" s="346"/>
      <c r="CV41" s="346"/>
      <c r="CW41" s="346"/>
      <c r="CX41" s="346"/>
      <c r="CY41" s="346"/>
      <c r="CZ41" s="346"/>
      <c r="DA41" s="346"/>
      <c r="DB41" s="346"/>
      <c r="DC41" s="346"/>
      <c r="DD41" s="346"/>
      <c r="DE41" s="346"/>
      <c r="DF41" s="346"/>
      <c r="DG41" s="346"/>
      <c r="DH41" s="342"/>
    </row>
    <row r="42" spans="3:124" ht="16.5" thickTop="1" thickBot="1">
      <c r="C42" s="443" t="s">
        <v>763</v>
      </c>
      <c r="D42" s="444">
        <v>490.54502729000001</v>
      </c>
      <c r="E42" s="444">
        <v>657.65242049000005</v>
      </c>
      <c r="F42" s="444">
        <v>749.34699087999991</v>
      </c>
      <c r="G42" s="444">
        <v>1444.0485742799999</v>
      </c>
      <c r="R42" s="382"/>
      <c r="S42" s="382" t="s">
        <v>551</v>
      </c>
      <c r="T42" s="382"/>
      <c r="U42" s="343"/>
      <c r="V42" s="343"/>
      <c r="W42" s="343"/>
      <c r="X42" s="343"/>
      <c r="Y42" s="343"/>
      <c r="Z42" s="343"/>
      <c r="AA42" s="343"/>
      <c r="AB42" s="343">
        <v>39636</v>
      </c>
      <c r="AC42" s="343">
        <v>19860</v>
      </c>
      <c r="AD42" s="343">
        <v>39473</v>
      </c>
      <c r="AE42" s="343">
        <v>98969</v>
      </c>
      <c r="AF42" s="382"/>
      <c r="AG42" s="382"/>
      <c r="AH42" s="469">
        <f t="shared" si="5"/>
        <v>0</v>
      </c>
      <c r="AI42" s="469">
        <f t="shared" si="6"/>
        <v>98969</v>
      </c>
      <c r="AJ42" s="469"/>
      <c r="AK42" s="382"/>
      <c r="AL42" s="382"/>
      <c r="AM42" s="382" t="s">
        <v>64</v>
      </c>
      <c r="AN42" s="469">
        <v>83556754.340000004</v>
      </c>
      <c r="AO42" s="469">
        <v>81140379.310000002</v>
      </c>
      <c r="AP42" s="382"/>
      <c r="AQ42" s="512" t="s">
        <v>66</v>
      </c>
      <c r="AR42" s="469">
        <v>91592837.180000007</v>
      </c>
      <c r="AS42" s="469">
        <v>96619023.000000015</v>
      </c>
      <c r="AT42" s="382"/>
      <c r="AU42" s="469">
        <v>91592</v>
      </c>
      <c r="AV42" s="469"/>
      <c r="AW42" s="469"/>
      <c r="AX42" s="382"/>
      <c r="AY42" s="382"/>
      <c r="AZ42" s="382"/>
      <c r="BA42" s="382"/>
      <c r="BB42" s="382"/>
      <c r="BC42" s="382"/>
      <c r="BD42" s="343"/>
      <c r="BE42" s="343"/>
      <c r="BF42" s="346"/>
      <c r="BG42" s="346"/>
      <c r="BH42" s="346"/>
      <c r="BI42" s="346"/>
      <c r="BJ42" s="346"/>
      <c r="BK42" s="346"/>
      <c r="BL42" s="346"/>
      <c r="BM42" s="346"/>
      <c r="BN42" s="346"/>
      <c r="BO42" s="346"/>
      <c r="BP42" s="346"/>
      <c r="BQ42" s="346"/>
      <c r="BR42" s="346"/>
      <c r="BS42" s="346"/>
      <c r="BT42" s="346"/>
      <c r="BU42" s="346"/>
      <c r="BV42" s="346"/>
      <c r="BW42" s="346"/>
      <c r="BX42" s="346"/>
      <c r="BY42" s="346"/>
      <c r="BZ42" s="346"/>
      <c r="CA42" s="346"/>
      <c r="CB42" s="346"/>
      <c r="CC42" s="346"/>
      <c r="CD42" s="346"/>
      <c r="CE42" s="346"/>
      <c r="CF42" s="346"/>
      <c r="CG42" s="346"/>
      <c r="CH42" s="346"/>
      <c r="CI42" s="346"/>
      <c r="CJ42" s="346"/>
      <c r="CK42" s="346"/>
      <c r="CL42" s="346"/>
      <c r="CM42" s="346"/>
      <c r="CN42" s="346"/>
      <c r="CO42" s="346"/>
      <c r="CP42" s="346"/>
      <c r="CQ42" s="346"/>
      <c r="CR42" s="346"/>
      <c r="CS42" s="346"/>
      <c r="CT42" s="346"/>
      <c r="CU42" s="346"/>
      <c r="CV42" s="346"/>
      <c r="CW42" s="346"/>
      <c r="CX42" s="346"/>
      <c r="CY42" s="346"/>
      <c r="CZ42" s="346"/>
      <c r="DA42" s="346"/>
      <c r="DB42" s="346"/>
      <c r="DC42" s="346"/>
      <c r="DD42" s="346"/>
      <c r="DE42" s="346"/>
      <c r="DF42" s="346"/>
      <c r="DG42" s="346"/>
      <c r="DH42" s="342"/>
    </row>
    <row r="43" spans="3:124" ht="15.75" thickTop="1">
      <c r="C43" s="370" t="s">
        <v>556</v>
      </c>
      <c r="D43" s="445"/>
      <c r="E43" s="445"/>
      <c r="F43" s="445"/>
      <c r="G43" s="445"/>
      <c r="R43" s="382"/>
      <c r="S43" s="382" t="s">
        <v>727</v>
      </c>
      <c r="T43" s="382" t="s">
        <v>764</v>
      </c>
      <c r="U43" s="343"/>
      <c r="V43" s="343"/>
      <c r="W43" s="343"/>
      <c r="X43" s="343"/>
      <c r="Y43" s="343"/>
      <c r="Z43" s="343"/>
      <c r="AA43" s="343"/>
      <c r="AB43" s="343"/>
      <c r="AC43" s="343"/>
      <c r="AD43" s="343">
        <v>0</v>
      </c>
      <c r="AE43" s="343">
        <v>0</v>
      </c>
      <c r="AF43" s="382"/>
      <c r="AG43" s="382" t="s">
        <v>65</v>
      </c>
      <c r="AH43" s="469">
        <f t="shared" si="5"/>
        <v>0</v>
      </c>
      <c r="AI43" s="469">
        <f t="shared" si="6"/>
        <v>0</v>
      </c>
      <c r="AJ43" s="469"/>
      <c r="AK43" s="382"/>
      <c r="AL43" s="382"/>
      <c r="AM43" s="382" t="s">
        <v>537</v>
      </c>
      <c r="AN43" s="469">
        <v>417000</v>
      </c>
      <c r="AO43" s="469">
        <v>151100</v>
      </c>
      <c r="AP43" s="382"/>
      <c r="AQ43" s="512" t="s">
        <v>59</v>
      </c>
      <c r="AR43" s="469">
        <v>117647524.60999998</v>
      </c>
      <c r="AS43" s="469">
        <v>90503795.420000002</v>
      </c>
      <c r="AT43" s="382"/>
      <c r="AU43" s="469">
        <v>117647</v>
      </c>
      <c r="AV43" s="469"/>
      <c r="AW43" s="469"/>
      <c r="AX43" s="382"/>
      <c r="AY43" s="382"/>
      <c r="AZ43" s="382"/>
      <c r="BA43" s="382"/>
      <c r="BB43" s="382"/>
      <c r="BC43" s="382"/>
      <c r="BD43" s="343"/>
      <c r="BE43" s="343"/>
      <c r="BF43" s="346"/>
      <c r="BG43" s="346"/>
      <c r="BH43" s="346"/>
      <c r="BI43" s="346"/>
      <c r="BJ43" s="346"/>
      <c r="BK43" s="346"/>
      <c r="BL43" s="346"/>
      <c r="BM43" s="346"/>
      <c r="BN43" s="346"/>
      <c r="BO43" s="346"/>
      <c r="BP43" s="346"/>
      <c r="BQ43" s="346"/>
      <c r="BR43" s="346"/>
      <c r="BS43" s="346"/>
      <c r="BT43" s="346"/>
      <c r="BU43" s="346"/>
      <c r="BV43" s="346"/>
      <c r="BW43" s="346"/>
      <c r="BX43" s="346"/>
      <c r="BY43" s="346"/>
      <c r="BZ43" s="346"/>
      <c r="CA43" s="346"/>
      <c r="CB43" s="346"/>
      <c r="CC43" s="346"/>
      <c r="CD43" s="346"/>
      <c r="CE43" s="346"/>
      <c r="CF43" s="346"/>
      <c r="CG43" s="346"/>
      <c r="CH43" s="346"/>
      <c r="CI43" s="346"/>
      <c r="CJ43" s="346"/>
      <c r="CK43" s="346"/>
      <c r="CL43" s="346"/>
      <c r="CM43" s="346"/>
      <c r="CN43" s="346"/>
      <c r="CO43" s="346"/>
      <c r="CP43" s="346"/>
      <c r="CQ43" s="346"/>
      <c r="CR43" s="346"/>
      <c r="CS43" s="346"/>
      <c r="CT43" s="346"/>
      <c r="CU43" s="346"/>
      <c r="CV43" s="346"/>
      <c r="CW43" s="346"/>
      <c r="CX43" s="346"/>
      <c r="CY43" s="346"/>
      <c r="CZ43" s="346"/>
      <c r="DA43" s="346"/>
      <c r="DB43" s="346"/>
      <c r="DC43" s="346"/>
      <c r="DD43" s="346"/>
      <c r="DE43" s="346"/>
      <c r="DF43" s="346"/>
      <c r="DG43" s="346"/>
      <c r="DH43" s="342"/>
    </row>
    <row r="44" spans="3:124">
      <c r="C44" s="370" t="s">
        <v>558</v>
      </c>
      <c r="I44" s="582"/>
      <c r="J44" s="582"/>
      <c r="K44" s="582"/>
      <c r="L44" s="582"/>
      <c r="M44" s="582"/>
      <c r="N44" s="582"/>
      <c r="O44" s="582"/>
      <c r="R44" s="382"/>
      <c r="S44" s="382" t="s">
        <v>765</v>
      </c>
      <c r="T44" s="382"/>
      <c r="U44" s="343"/>
      <c r="V44" s="343"/>
      <c r="W44" s="343"/>
      <c r="X44" s="343"/>
      <c r="Y44" s="343"/>
      <c r="Z44" s="343"/>
      <c r="AA44" s="343"/>
      <c r="AB44" s="343"/>
      <c r="AC44" s="343"/>
      <c r="AD44" s="343">
        <v>0</v>
      </c>
      <c r="AE44" s="343">
        <v>0</v>
      </c>
      <c r="AF44" s="382"/>
      <c r="AG44" s="382"/>
      <c r="AH44" s="469">
        <f t="shared" si="5"/>
        <v>0</v>
      </c>
      <c r="AI44" s="469">
        <f t="shared" si="6"/>
        <v>0</v>
      </c>
      <c r="AJ44" s="469"/>
      <c r="AK44" s="382"/>
      <c r="AL44" s="382"/>
      <c r="AM44" s="382" t="s">
        <v>60</v>
      </c>
      <c r="AN44" s="469">
        <v>282538507.74000001</v>
      </c>
      <c r="AO44" s="469">
        <v>287779874.83000004</v>
      </c>
      <c r="AP44" s="382"/>
      <c r="AQ44" s="512" t="s">
        <v>57</v>
      </c>
      <c r="AR44" s="469">
        <v>104543262.51000002</v>
      </c>
      <c r="AS44" s="469">
        <v>86263812.299999997</v>
      </c>
      <c r="AT44" s="382"/>
      <c r="AU44" s="469">
        <v>104543</v>
      </c>
      <c r="AV44" s="469"/>
      <c r="AW44" s="469"/>
      <c r="AX44" s="382"/>
      <c r="AY44" s="382"/>
      <c r="AZ44" s="382"/>
      <c r="BA44" s="382"/>
      <c r="BB44" s="382"/>
      <c r="BC44" s="382"/>
      <c r="BD44" s="343"/>
      <c r="BE44" s="343"/>
      <c r="BF44" s="346"/>
      <c r="BG44" s="346"/>
      <c r="BH44" s="346"/>
      <c r="BI44" s="346"/>
      <c r="BJ44" s="346"/>
      <c r="BK44" s="346"/>
      <c r="BL44" s="346"/>
      <c r="BM44" s="346"/>
      <c r="BN44" s="346"/>
      <c r="BO44" s="346"/>
      <c r="BP44" s="346"/>
      <c r="BQ44" s="346"/>
      <c r="BR44" s="346"/>
      <c r="BS44" s="346"/>
      <c r="BT44" s="346"/>
      <c r="BU44" s="346"/>
      <c r="BV44" s="346"/>
      <c r="BW44" s="346"/>
      <c r="BX44" s="346"/>
      <c r="BY44" s="346"/>
      <c r="BZ44" s="346"/>
      <c r="CA44" s="346"/>
      <c r="CB44" s="346"/>
      <c r="CC44" s="346"/>
      <c r="CD44" s="346"/>
      <c r="CE44" s="346"/>
      <c r="CF44" s="346"/>
      <c r="CG44" s="346"/>
      <c r="CH44" s="346"/>
      <c r="CI44" s="346"/>
      <c r="CJ44" s="346"/>
      <c r="CK44" s="346"/>
      <c r="CL44" s="346"/>
      <c r="CM44" s="346"/>
      <c r="CN44" s="346"/>
      <c r="CO44" s="346"/>
      <c r="CP44" s="346"/>
      <c r="CQ44" s="346"/>
      <c r="CR44" s="346"/>
      <c r="CS44" s="346"/>
      <c r="CT44" s="346"/>
      <c r="CU44" s="346"/>
      <c r="CV44" s="346"/>
      <c r="CW44" s="346"/>
      <c r="CX44" s="346"/>
      <c r="CY44" s="346"/>
      <c r="CZ44" s="346"/>
      <c r="DA44" s="346"/>
      <c r="DB44" s="346"/>
      <c r="DC44" s="346"/>
      <c r="DD44" s="346"/>
      <c r="DE44" s="346"/>
      <c r="DF44" s="346"/>
      <c r="DG44" s="346"/>
      <c r="DH44" s="342"/>
    </row>
    <row r="45" spans="3:124">
      <c r="C45" s="370"/>
      <c r="D45" s="364"/>
      <c r="E45" s="364"/>
      <c r="F45" s="364"/>
      <c r="G45" s="364"/>
      <c r="I45" s="582"/>
      <c r="J45" s="582"/>
      <c r="K45" s="582"/>
      <c r="L45" s="582"/>
      <c r="M45" s="582"/>
      <c r="N45" s="582"/>
      <c r="O45" s="582"/>
      <c r="R45" s="382"/>
      <c r="S45" s="382" t="s">
        <v>553</v>
      </c>
      <c r="T45" s="382" t="s">
        <v>554</v>
      </c>
      <c r="U45" s="343"/>
      <c r="V45" s="343"/>
      <c r="W45" s="343"/>
      <c r="X45" s="343"/>
      <c r="Y45" s="343"/>
      <c r="Z45" s="343">
        <v>42032</v>
      </c>
      <c r="AA45" s="343">
        <v>53266</v>
      </c>
      <c r="AB45" s="343">
        <v>85998</v>
      </c>
      <c r="AC45" s="343"/>
      <c r="AD45" s="343">
        <v>152674</v>
      </c>
      <c r="AE45" s="343">
        <v>333970</v>
      </c>
      <c r="AF45" s="382"/>
      <c r="AG45" s="382" t="s">
        <v>217</v>
      </c>
      <c r="AH45" s="469">
        <f t="shared" si="5"/>
        <v>0</v>
      </c>
      <c r="AI45" s="469">
        <f t="shared" si="6"/>
        <v>333970</v>
      </c>
      <c r="AJ45" s="469"/>
      <c r="AK45" s="382"/>
      <c r="AL45" s="382"/>
      <c r="AM45" s="382" t="s">
        <v>67</v>
      </c>
      <c r="AN45" s="469">
        <v>14848183.16</v>
      </c>
      <c r="AO45" s="469">
        <v>15709280.290000001</v>
      </c>
      <c r="AP45" s="382"/>
      <c r="AQ45" s="512" t="s">
        <v>64</v>
      </c>
      <c r="AR45" s="469">
        <v>83556754.340000004</v>
      </c>
      <c r="AS45" s="469">
        <v>81140379.310000002</v>
      </c>
      <c r="AT45" s="382"/>
      <c r="AU45" s="469">
        <v>83556</v>
      </c>
      <c r="AV45" s="469"/>
      <c r="AW45" s="469"/>
      <c r="AX45" s="382"/>
      <c r="AY45" s="382"/>
      <c r="AZ45" s="382"/>
      <c r="BA45" s="382"/>
      <c r="BB45" s="382"/>
      <c r="BC45" s="382"/>
      <c r="BD45" s="343"/>
      <c r="BE45" s="343"/>
      <c r="BF45" s="346"/>
      <c r="BG45" s="346"/>
      <c r="BH45" s="346"/>
      <c r="BI45" s="346"/>
      <c r="BJ45" s="346"/>
      <c r="BK45" s="346"/>
      <c r="BL45" s="346"/>
      <c r="BM45" s="346"/>
      <c r="BN45" s="346"/>
      <c r="BO45" s="346"/>
      <c r="BP45" s="346"/>
      <c r="BQ45" s="346"/>
      <c r="BR45" s="346"/>
      <c r="BS45" s="346"/>
      <c r="BT45" s="346"/>
      <c r="BU45" s="346"/>
      <c r="BV45" s="346"/>
      <c r="BW45" s="346"/>
      <c r="BX45" s="346"/>
      <c r="BY45" s="346"/>
      <c r="BZ45" s="346"/>
      <c r="CA45" s="346"/>
      <c r="CB45" s="346"/>
      <c r="CC45" s="346"/>
      <c r="CD45" s="346"/>
      <c r="CE45" s="346"/>
      <c r="CF45" s="346"/>
      <c r="CG45" s="346"/>
      <c r="CH45" s="346"/>
      <c r="CI45" s="346"/>
      <c r="CJ45" s="346"/>
      <c r="CK45" s="346"/>
      <c r="CL45" s="346"/>
      <c r="CM45" s="346"/>
      <c r="CN45" s="346"/>
      <c r="CO45" s="346"/>
      <c r="CP45" s="346"/>
      <c r="CQ45" s="346"/>
      <c r="CR45" s="346"/>
      <c r="CS45" s="346"/>
      <c r="CT45" s="346"/>
      <c r="CU45" s="346"/>
      <c r="CV45" s="346"/>
      <c r="CW45" s="346"/>
      <c r="CX45" s="346"/>
      <c r="CY45" s="346"/>
      <c r="CZ45" s="346"/>
      <c r="DA45" s="346"/>
      <c r="DB45" s="346"/>
      <c r="DC45" s="346"/>
      <c r="DD45" s="346"/>
      <c r="DE45" s="346"/>
      <c r="DF45" s="346"/>
      <c r="DG45" s="346"/>
      <c r="DH45" s="342"/>
    </row>
    <row r="46" spans="3:124">
      <c r="C46" s="446"/>
      <c r="D46" s="446"/>
      <c r="E46" s="446"/>
      <c r="F46" s="446"/>
      <c r="G46" s="446"/>
      <c r="R46" s="382"/>
      <c r="S46" s="382" t="s">
        <v>555</v>
      </c>
      <c r="T46" s="382"/>
      <c r="U46" s="343"/>
      <c r="V46" s="343"/>
      <c r="W46" s="343"/>
      <c r="X46" s="343"/>
      <c r="Y46" s="343"/>
      <c r="Z46" s="343">
        <v>42032</v>
      </c>
      <c r="AA46" s="343">
        <v>53266</v>
      </c>
      <c r="AB46" s="343">
        <v>85998</v>
      </c>
      <c r="AC46" s="343"/>
      <c r="AD46" s="343">
        <v>152674</v>
      </c>
      <c r="AE46" s="343">
        <v>333970</v>
      </c>
      <c r="AF46" s="382"/>
      <c r="AG46" s="382"/>
      <c r="AH46" s="469">
        <f t="shared" si="5"/>
        <v>0</v>
      </c>
      <c r="AI46" s="469">
        <f t="shared" si="6"/>
        <v>333970</v>
      </c>
      <c r="AJ46" s="469"/>
      <c r="AK46" s="382"/>
      <c r="AL46" s="382"/>
      <c r="AM46" s="382" t="s">
        <v>69</v>
      </c>
      <c r="AN46" s="469">
        <v>11958698.469999999</v>
      </c>
      <c r="AO46" s="469">
        <v>12262542.77</v>
      </c>
      <c r="AP46" s="382"/>
      <c r="AQ46" s="512" t="s">
        <v>65</v>
      </c>
      <c r="AR46" s="469">
        <v>72162353.539999992</v>
      </c>
      <c r="AS46" s="469">
        <v>71672863.909999996</v>
      </c>
      <c r="AT46" s="382"/>
      <c r="AU46" s="469">
        <v>72162</v>
      </c>
      <c r="AV46" s="469"/>
      <c r="AW46" s="469"/>
      <c r="AX46" s="382"/>
      <c r="AY46" s="382"/>
      <c r="AZ46" s="382"/>
      <c r="BA46" s="382"/>
      <c r="BB46" s="382"/>
      <c r="BC46" s="382"/>
      <c r="BD46" s="343"/>
      <c r="BE46" s="343"/>
      <c r="BF46" s="346"/>
      <c r="BG46" s="346"/>
      <c r="BH46" s="346"/>
      <c r="BI46" s="346"/>
      <c r="BJ46" s="346"/>
      <c r="BK46" s="346"/>
      <c r="BL46" s="346"/>
      <c r="BM46" s="346"/>
      <c r="BN46" s="346"/>
      <c r="BO46" s="346"/>
      <c r="BP46" s="346"/>
      <c r="BQ46" s="346"/>
      <c r="BR46" s="346"/>
      <c r="BS46" s="346"/>
      <c r="BT46" s="346"/>
      <c r="BU46" s="346"/>
      <c r="BV46" s="346"/>
      <c r="BW46" s="346"/>
      <c r="BX46" s="346"/>
      <c r="BY46" s="346"/>
      <c r="BZ46" s="346"/>
      <c r="CA46" s="346"/>
      <c r="CB46" s="346"/>
      <c r="CC46" s="346"/>
      <c r="CD46" s="346"/>
      <c r="CE46" s="346"/>
      <c r="CF46" s="346"/>
      <c r="CG46" s="346"/>
      <c r="CH46" s="346"/>
      <c r="CI46" s="346"/>
      <c r="CJ46" s="346"/>
      <c r="CK46" s="346"/>
      <c r="CL46" s="346"/>
      <c r="CM46" s="346"/>
      <c r="CN46" s="346"/>
      <c r="CO46" s="346"/>
      <c r="CP46" s="346"/>
      <c r="CQ46" s="346"/>
      <c r="CR46" s="346"/>
      <c r="CS46" s="346"/>
      <c r="CT46" s="346"/>
      <c r="CU46" s="346"/>
      <c r="CV46" s="346"/>
      <c r="CW46" s="346"/>
      <c r="CX46" s="346"/>
      <c r="CY46" s="346"/>
      <c r="CZ46" s="346"/>
      <c r="DA46" s="346"/>
      <c r="DB46" s="346"/>
      <c r="DC46" s="346"/>
      <c r="DD46" s="346"/>
      <c r="DE46" s="346"/>
      <c r="DF46" s="346"/>
      <c r="DG46" s="346"/>
      <c r="DH46" s="342"/>
    </row>
    <row r="47" spans="3:124">
      <c r="R47" s="382" t="s">
        <v>557</v>
      </c>
      <c r="S47" s="382"/>
      <c r="T47" s="382"/>
      <c r="U47" s="343"/>
      <c r="V47" s="343"/>
      <c r="W47" s="343"/>
      <c r="X47" s="343"/>
      <c r="Y47" s="343"/>
      <c r="Z47" s="343">
        <v>133032</v>
      </c>
      <c r="AA47" s="343">
        <v>96266</v>
      </c>
      <c r="AB47" s="343">
        <v>168634</v>
      </c>
      <c r="AC47" s="343">
        <v>64860</v>
      </c>
      <c r="AD47" s="343">
        <v>234147</v>
      </c>
      <c r="AE47" s="343">
        <v>696939</v>
      </c>
      <c r="AF47" s="382"/>
      <c r="AG47" s="382"/>
      <c r="AH47" s="469">
        <f t="shared" si="5"/>
        <v>0</v>
      </c>
      <c r="AI47" s="469">
        <f t="shared" si="6"/>
        <v>696939</v>
      </c>
      <c r="AJ47" s="469"/>
      <c r="AK47" s="382"/>
      <c r="AL47" s="382"/>
      <c r="AM47" s="382" t="s">
        <v>63</v>
      </c>
      <c r="AN47" s="469">
        <v>75324716.609999999</v>
      </c>
      <c r="AO47" s="469">
        <v>57273383.299999997</v>
      </c>
      <c r="AP47" s="382"/>
      <c r="AQ47" s="512" t="s">
        <v>62</v>
      </c>
      <c r="AR47" s="469">
        <v>44399813.890000001</v>
      </c>
      <c r="AS47" s="469">
        <v>57433951.340000004</v>
      </c>
      <c r="AT47" s="382"/>
      <c r="AU47" s="469">
        <v>44399</v>
      </c>
      <c r="AV47" s="469"/>
      <c r="AW47" s="469"/>
      <c r="AX47" s="382"/>
      <c r="AY47" s="382"/>
      <c r="AZ47" s="382"/>
      <c r="BA47" s="382"/>
      <c r="BB47" s="382"/>
      <c r="BC47" s="382"/>
      <c r="BD47" s="343"/>
      <c r="BE47" s="343"/>
      <c r="BF47" s="346"/>
      <c r="BG47" s="346"/>
      <c r="BH47" s="346"/>
      <c r="BI47" s="346"/>
      <c r="BJ47" s="346"/>
      <c r="BK47" s="346"/>
      <c r="BL47" s="346"/>
      <c r="BM47" s="346"/>
      <c r="BN47" s="346"/>
      <c r="BO47" s="346"/>
      <c r="BP47" s="346"/>
      <c r="BQ47" s="346"/>
      <c r="BR47" s="346"/>
      <c r="BS47" s="346"/>
      <c r="BT47" s="346"/>
      <c r="BU47" s="346"/>
      <c r="BV47" s="346"/>
      <c r="BW47" s="346"/>
      <c r="BX47" s="346"/>
      <c r="BY47" s="346"/>
      <c r="BZ47" s="346"/>
      <c r="CA47" s="346"/>
      <c r="CB47" s="346"/>
      <c r="CC47" s="346"/>
      <c r="CD47" s="346"/>
      <c r="CE47" s="346"/>
      <c r="CF47" s="346"/>
      <c r="CG47" s="346"/>
      <c r="CH47" s="346"/>
      <c r="CI47" s="346"/>
      <c r="CJ47" s="346"/>
      <c r="CK47" s="346"/>
      <c r="CL47" s="346"/>
      <c r="CM47" s="346"/>
      <c r="CN47" s="346"/>
      <c r="CO47" s="346"/>
      <c r="CP47" s="346"/>
      <c r="CQ47" s="346"/>
      <c r="CR47" s="346"/>
      <c r="CS47" s="346"/>
      <c r="CT47" s="346"/>
      <c r="CU47" s="346"/>
      <c r="CV47" s="346"/>
      <c r="CW47" s="346"/>
      <c r="CX47" s="346"/>
      <c r="CY47" s="346"/>
      <c r="CZ47" s="346"/>
      <c r="DA47" s="346"/>
      <c r="DB47" s="346"/>
      <c r="DC47" s="346"/>
      <c r="DD47" s="346"/>
      <c r="DE47" s="346"/>
      <c r="DF47" s="346"/>
      <c r="DG47" s="346"/>
      <c r="DH47" s="342"/>
    </row>
    <row r="48" spans="3:124">
      <c r="R48" s="382" t="s">
        <v>229</v>
      </c>
      <c r="S48" s="382" t="s">
        <v>559</v>
      </c>
      <c r="T48" s="382" t="s">
        <v>560</v>
      </c>
      <c r="U48" s="343">
        <v>526</v>
      </c>
      <c r="V48" s="343">
        <v>526</v>
      </c>
      <c r="W48" s="343">
        <v>530</v>
      </c>
      <c r="X48" s="343">
        <v>526</v>
      </c>
      <c r="Y48" s="343">
        <v>530</v>
      </c>
      <c r="Z48" s="343"/>
      <c r="AA48" s="343"/>
      <c r="AB48" s="343"/>
      <c r="AC48" s="343"/>
      <c r="AD48" s="343"/>
      <c r="AE48" s="343">
        <v>2638</v>
      </c>
      <c r="AF48" s="382"/>
      <c r="AG48" s="382" t="s">
        <v>58</v>
      </c>
      <c r="AH48" s="469">
        <f t="shared" si="5"/>
        <v>2638</v>
      </c>
      <c r="AI48" s="469">
        <f t="shared" si="6"/>
        <v>0</v>
      </c>
      <c r="AJ48" s="469"/>
      <c r="AK48" s="382"/>
      <c r="AL48" s="382"/>
      <c r="AM48" s="382" t="s">
        <v>66</v>
      </c>
      <c r="AN48" s="469">
        <v>91592837.180000007</v>
      </c>
      <c r="AO48" s="469">
        <v>96619023.000000015</v>
      </c>
      <c r="AP48" s="382"/>
      <c r="AQ48" s="512" t="s">
        <v>63</v>
      </c>
      <c r="AR48" s="469">
        <v>75324716.609999999</v>
      </c>
      <c r="AS48" s="469">
        <v>57273383.299999997</v>
      </c>
      <c r="AT48" s="382"/>
      <c r="AU48" s="469">
        <v>75324</v>
      </c>
      <c r="AV48" s="469"/>
      <c r="AW48" s="469"/>
      <c r="AX48" s="382"/>
      <c r="AY48" s="382"/>
      <c r="AZ48" s="382"/>
      <c r="BA48" s="382"/>
      <c r="BB48" s="382"/>
      <c r="BC48" s="382"/>
      <c r="BD48" s="343"/>
      <c r="BE48" s="343"/>
      <c r="BF48" s="346"/>
      <c r="BG48" s="346"/>
      <c r="BH48" s="346"/>
      <c r="BI48" s="346"/>
      <c r="BJ48" s="346"/>
      <c r="BK48" s="346"/>
      <c r="BL48" s="346"/>
      <c r="BM48" s="346"/>
      <c r="BN48" s="346"/>
      <c r="BO48" s="346"/>
      <c r="BP48" s="346"/>
      <c r="BQ48" s="346"/>
      <c r="BR48" s="346"/>
      <c r="BS48" s="346"/>
      <c r="BT48" s="346"/>
      <c r="BU48" s="346"/>
      <c r="BV48" s="346"/>
      <c r="BW48" s="346"/>
      <c r="BX48" s="346"/>
      <c r="BY48" s="346"/>
      <c r="BZ48" s="346"/>
      <c r="CA48" s="346"/>
      <c r="CB48" s="346"/>
      <c r="CC48" s="346"/>
      <c r="CD48" s="346"/>
      <c r="CE48" s="346"/>
      <c r="CF48" s="346"/>
      <c r="CG48" s="346"/>
      <c r="CH48" s="346"/>
      <c r="CI48" s="346"/>
      <c r="CJ48" s="346"/>
      <c r="CK48" s="346"/>
      <c r="CL48" s="346"/>
      <c r="CM48" s="346"/>
      <c r="CN48" s="346"/>
      <c r="CO48" s="346"/>
      <c r="CP48" s="346"/>
      <c r="CQ48" s="346"/>
      <c r="CR48" s="346"/>
      <c r="CS48" s="346"/>
      <c r="CT48" s="346"/>
      <c r="CU48" s="346"/>
      <c r="CV48" s="346"/>
      <c r="CW48" s="346"/>
      <c r="CX48" s="346"/>
      <c r="CY48" s="346"/>
      <c r="CZ48" s="346"/>
      <c r="DA48" s="346"/>
      <c r="DB48" s="346"/>
      <c r="DC48" s="346"/>
      <c r="DD48" s="346"/>
      <c r="DE48" s="346"/>
      <c r="DF48" s="346"/>
      <c r="DG48" s="346"/>
      <c r="DH48" s="342"/>
    </row>
    <row r="49" spans="15:112">
      <c r="R49" s="382"/>
      <c r="S49" s="382" t="s">
        <v>561</v>
      </c>
      <c r="T49" s="382"/>
      <c r="U49" s="343">
        <v>526</v>
      </c>
      <c r="V49" s="343">
        <v>526</v>
      </c>
      <c r="W49" s="343">
        <v>530</v>
      </c>
      <c r="X49" s="343">
        <v>526</v>
      </c>
      <c r="Y49" s="343">
        <v>530</v>
      </c>
      <c r="Z49" s="343"/>
      <c r="AA49" s="343"/>
      <c r="AB49" s="343"/>
      <c r="AC49" s="343"/>
      <c r="AD49" s="343"/>
      <c r="AE49" s="343">
        <v>2638</v>
      </c>
      <c r="AF49" s="382"/>
      <c r="AG49" s="382"/>
      <c r="AH49" s="469">
        <f t="shared" si="5"/>
        <v>2638</v>
      </c>
      <c r="AI49" s="469">
        <f t="shared" si="6"/>
        <v>0</v>
      </c>
      <c r="AJ49" s="469"/>
      <c r="AK49" s="382"/>
      <c r="AL49" s="382"/>
      <c r="AM49" s="382" t="s">
        <v>70</v>
      </c>
      <c r="AN49" s="469">
        <v>200941444.95999998</v>
      </c>
      <c r="AO49" s="469">
        <f>AI41+224591281.3</f>
        <v>224690250.30000001</v>
      </c>
      <c r="AP49" s="382"/>
      <c r="AQ49" s="512" t="s">
        <v>217</v>
      </c>
      <c r="AR49" s="469">
        <v>158957125.03</v>
      </c>
      <c r="AS49" s="469">
        <v>56540886.979999997</v>
      </c>
      <c r="AT49" s="382"/>
      <c r="AU49" s="469">
        <v>158957</v>
      </c>
      <c r="AV49" s="469"/>
      <c r="AW49" s="469"/>
      <c r="AX49" s="382"/>
      <c r="AY49" s="382"/>
      <c r="AZ49" s="382"/>
      <c r="BA49" s="382"/>
      <c r="BB49" s="382"/>
      <c r="BC49" s="382"/>
      <c r="BD49" s="343"/>
      <c r="BE49" s="343"/>
      <c r="BF49" s="346"/>
      <c r="BG49" s="346"/>
      <c r="BH49" s="346"/>
      <c r="BI49" s="346"/>
      <c r="BJ49" s="346"/>
      <c r="BK49" s="346"/>
      <c r="BL49" s="346"/>
      <c r="BM49" s="346"/>
      <c r="BN49" s="346"/>
      <c r="BO49" s="346"/>
      <c r="BP49" s="346"/>
      <c r="BQ49" s="346"/>
      <c r="BR49" s="346"/>
      <c r="BS49" s="346"/>
      <c r="BT49" s="346"/>
      <c r="BU49" s="346"/>
      <c r="BV49" s="346"/>
      <c r="BW49" s="346"/>
      <c r="BX49" s="346"/>
      <c r="BY49" s="346"/>
      <c r="BZ49" s="346"/>
      <c r="CA49" s="346"/>
      <c r="CB49" s="346"/>
      <c r="CC49" s="346"/>
      <c r="CD49" s="346"/>
      <c r="CE49" s="346"/>
      <c r="CF49" s="346"/>
      <c r="CG49" s="346"/>
      <c r="CH49" s="346"/>
      <c r="CI49" s="346"/>
      <c r="CJ49" s="346"/>
      <c r="CK49" s="346"/>
      <c r="CL49" s="346"/>
      <c r="CM49" s="346"/>
      <c r="CN49" s="346"/>
      <c r="CO49" s="346"/>
      <c r="CP49" s="346"/>
      <c r="CQ49" s="346"/>
      <c r="CR49" s="346"/>
      <c r="CS49" s="346"/>
      <c r="CT49" s="346"/>
      <c r="CU49" s="346"/>
      <c r="CV49" s="346"/>
      <c r="CW49" s="346"/>
      <c r="CX49" s="346"/>
      <c r="CY49" s="346"/>
      <c r="CZ49" s="346"/>
      <c r="DA49" s="346"/>
      <c r="DB49" s="346"/>
      <c r="DC49" s="346"/>
      <c r="DD49" s="346"/>
      <c r="DE49" s="346"/>
      <c r="DF49" s="346"/>
      <c r="DG49" s="346"/>
      <c r="DH49" s="342"/>
    </row>
    <row r="50" spans="15:112">
      <c r="R50" s="382" t="s">
        <v>562</v>
      </c>
      <c r="S50" s="382"/>
      <c r="T50" s="382"/>
      <c r="U50" s="343">
        <v>526</v>
      </c>
      <c r="V50" s="343">
        <v>526</v>
      </c>
      <c r="W50" s="343">
        <v>530</v>
      </c>
      <c r="X50" s="343">
        <v>526</v>
      </c>
      <c r="Y50" s="343">
        <v>530</v>
      </c>
      <c r="Z50" s="343"/>
      <c r="AA50" s="343"/>
      <c r="AB50" s="343"/>
      <c r="AC50" s="343"/>
      <c r="AD50" s="343"/>
      <c r="AE50" s="343">
        <v>2638</v>
      </c>
      <c r="AF50" s="382"/>
      <c r="AG50" s="382"/>
      <c r="AH50" s="469">
        <f t="shared" si="5"/>
        <v>2638</v>
      </c>
      <c r="AI50" s="469">
        <f t="shared" si="6"/>
        <v>0</v>
      </c>
      <c r="AJ50" s="469"/>
      <c r="AK50" s="382"/>
      <c r="AL50" s="382"/>
      <c r="AM50" s="382" t="s">
        <v>538</v>
      </c>
      <c r="AN50" s="469">
        <v>364377</v>
      </c>
      <c r="AO50" s="469">
        <v>787243.5</v>
      </c>
      <c r="AP50" s="382"/>
      <c r="AQ50" s="512" t="s">
        <v>68</v>
      </c>
      <c r="AR50" s="469">
        <v>37617622.759999998</v>
      </c>
      <c r="AS50" s="469">
        <v>33275579.440000001</v>
      </c>
      <c r="AT50" s="382"/>
      <c r="AU50" s="469">
        <v>37617</v>
      </c>
      <c r="AV50" s="469"/>
      <c r="AW50" s="469"/>
      <c r="AX50" s="382"/>
      <c r="AY50" s="382"/>
      <c r="AZ50" s="382"/>
      <c r="BA50" s="382"/>
      <c r="BB50" s="382"/>
      <c r="BC50" s="382"/>
      <c r="BD50" s="343"/>
      <c r="BE50" s="343"/>
      <c r="BF50" s="346"/>
      <c r="BG50" s="346"/>
      <c r="BH50" s="346"/>
      <c r="BI50" s="346"/>
      <c r="BJ50" s="346"/>
      <c r="BK50" s="346"/>
      <c r="BL50" s="346"/>
      <c r="BM50" s="346"/>
      <c r="BN50" s="346"/>
      <c r="BO50" s="346"/>
      <c r="BP50" s="346"/>
      <c r="BQ50" s="346"/>
      <c r="BR50" s="346"/>
      <c r="BS50" s="346"/>
      <c r="BT50" s="346"/>
      <c r="BU50" s="346"/>
      <c r="BV50" s="346"/>
      <c r="BW50" s="346"/>
      <c r="BX50" s="346"/>
      <c r="BY50" s="346"/>
      <c r="BZ50" s="346"/>
      <c r="CA50" s="346"/>
      <c r="CB50" s="346"/>
      <c r="CC50" s="346"/>
      <c r="CD50" s="346"/>
      <c r="CE50" s="346"/>
      <c r="CF50" s="346"/>
      <c r="CG50" s="346"/>
      <c r="CH50" s="346"/>
      <c r="CI50" s="346"/>
      <c r="CJ50" s="346"/>
      <c r="CK50" s="346"/>
      <c r="CL50" s="346"/>
      <c r="CM50" s="346"/>
      <c r="CN50" s="346"/>
      <c r="CO50" s="346"/>
      <c r="CP50" s="346"/>
      <c r="CQ50" s="346"/>
      <c r="CR50" s="346"/>
      <c r="CS50" s="346"/>
      <c r="CT50" s="346"/>
      <c r="CU50" s="346"/>
      <c r="CV50" s="346"/>
      <c r="CW50" s="346"/>
      <c r="CX50" s="346"/>
      <c r="CY50" s="346"/>
      <c r="CZ50" s="346"/>
      <c r="DA50" s="346"/>
      <c r="DB50" s="346"/>
      <c r="DC50" s="346"/>
      <c r="DD50" s="346"/>
      <c r="DE50" s="346"/>
      <c r="DF50" s="346"/>
      <c r="DG50" s="346"/>
      <c r="DH50" s="342"/>
    </row>
    <row r="51" spans="15:112">
      <c r="R51" s="383" t="s">
        <v>407</v>
      </c>
      <c r="S51" s="383"/>
      <c r="T51" s="383"/>
      <c r="U51" s="343">
        <v>526</v>
      </c>
      <c r="V51" s="343">
        <v>526</v>
      </c>
      <c r="W51" s="343">
        <v>530</v>
      </c>
      <c r="X51" s="343">
        <v>526</v>
      </c>
      <c r="Y51" s="343">
        <v>530</v>
      </c>
      <c r="Z51" s="343">
        <v>133032</v>
      </c>
      <c r="AA51" s="343">
        <v>96266</v>
      </c>
      <c r="AB51" s="343">
        <v>168634</v>
      </c>
      <c r="AC51" s="343">
        <v>64860</v>
      </c>
      <c r="AD51" s="343">
        <v>234147</v>
      </c>
      <c r="AE51" s="343">
        <v>699577</v>
      </c>
      <c r="AF51" s="382"/>
      <c r="AG51" s="382"/>
      <c r="AH51" s="382"/>
      <c r="AI51" s="469"/>
      <c r="AJ51" s="469"/>
      <c r="AK51" s="382"/>
      <c r="AL51" s="382"/>
      <c r="AM51" s="382" t="s">
        <v>65</v>
      </c>
      <c r="AN51" s="469">
        <v>72162353.539999992</v>
      </c>
      <c r="AO51" s="469">
        <v>71672863.909999996</v>
      </c>
      <c r="AP51" s="382"/>
      <c r="AQ51" s="512" t="s">
        <v>71</v>
      </c>
      <c r="AR51" s="469">
        <v>25904049.710000001</v>
      </c>
      <c r="AS51" s="469">
        <v>26481793.91</v>
      </c>
      <c r="AT51" s="382"/>
      <c r="AU51" s="469">
        <v>25904</v>
      </c>
      <c r="AV51" s="469"/>
      <c r="AW51" s="469"/>
      <c r="AX51" s="382"/>
      <c r="AY51" s="382"/>
      <c r="AZ51" s="382"/>
      <c r="BA51" s="382"/>
      <c r="BB51" s="382"/>
      <c r="BC51" s="382"/>
      <c r="BD51" s="343"/>
      <c r="BE51" s="343"/>
      <c r="BF51" s="346"/>
      <c r="BG51" s="346"/>
      <c r="BH51" s="346"/>
      <c r="BI51" s="346"/>
      <c r="BJ51" s="346"/>
      <c r="BK51" s="346"/>
      <c r="BL51" s="346"/>
      <c r="BM51" s="346"/>
      <c r="BN51" s="346"/>
      <c r="BO51" s="346"/>
      <c r="BP51" s="346"/>
      <c r="BQ51" s="346"/>
      <c r="BR51" s="346"/>
      <c r="BS51" s="346"/>
      <c r="BT51" s="346"/>
      <c r="BU51" s="346"/>
      <c r="BV51" s="346"/>
      <c r="BW51" s="346"/>
      <c r="BX51" s="346"/>
      <c r="BY51" s="346"/>
      <c r="BZ51" s="346"/>
      <c r="CA51" s="346"/>
      <c r="CB51" s="346"/>
      <c r="CC51" s="346"/>
      <c r="CD51" s="346"/>
      <c r="CE51" s="346"/>
      <c r="CF51" s="346"/>
      <c r="CG51" s="346"/>
      <c r="CH51" s="346"/>
      <c r="CI51" s="346"/>
      <c r="CJ51" s="346"/>
      <c r="CK51" s="346"/>
      <c r="CL51" s="346"/>
      <c r="CM51" s="346"/>
      <c r="CN51" s="346"/>
      <c r="CO51" s="346"/>
      <c r="CP51" s="346"/>
      <c r="CQ51" s="346"/>
      <c r="CR51" s="346"/>
      <c r="CS51" s="346"/>
      <c r="CT51" s="346"/>
      <c r="CU51" s="346"/>
      <c r="CV51" s="346"/>
      <c r="CW51" s="346"/>
      <c r="CX51" s="346"/>
      <c r="CY51" s="346"/>
      <c r="CZ51" s="346"/>
      <c r="DA51" s="346"/>
      <c r="DB51" s="346"/>
      <c r="DC51" s="346"/>
      <c r="DD51" s="346"/>
      <c r="DE51" s="346"/>
      <c r="DF51" s="346"/>
      <c r="DG51" s="346"/>
      <c r="DH51" s="342"/>
    </row>
    <row r="52" spans="15:112">
      <c r="R52" s="382"/>
      <c r="S52" s="382"/>
      <c r="T52" s="382"/>
      <c r="U52" s="382"/>
      <c r="V52" s="382"/>
      <c r="W52" s="382"/>
      <c r="X52" s="382"/>
      <c r="Y52" s="382"/>
      <c r="Z52" s="382"/>
      <c r="AA52" s="382"/>
      <c r="AB52" s="382"/>
      <c r="AC52" s="382"/>
      <c r="AD52" s="382"/>
      <c r="AE52" s="382"/>
      <c r="AF52" s="382"/>
      <c r="AG52" s="382"/>
      <c r="AH52" s="382"/>
      <c r="AI52" s="469"/>
      <c r="AJ52" s="469"/>
      <c r="AK52" s="382"/>
      <c r="AL52" s="382"/>
      <c r="AM52" s="382" t="s">
        <v>539</v>
      </c>
      <c r="AN52" s="469">
        <v>125000</v>
      </c>
      <c r="AO52" s="469">
        <v>110530</v>
      </c>
      <c r="AP52" s="382"/>
      <c r="AQ52" s="512" t="s">
        <v>67</v>
      </c>
      <c r="AR52" s="469">
        <v>14848183.16</v>
      </c>
      <c r="AS52" s="469">
        <v>15709280.290000001</v>
      </c>
      <c r="AT52" s="382"/>
      <c r="AU52" s="469">
        <v>14848</v>
      </c>
      <c r="AV52" s="469"/>
      <c r="AW52" s="469"/>
      <c r="AX52" s="382"/>
      <c r="AY52" s="382"/>
      <c r="AZ52" s="382"/>
      <c r="BA52" s="382"/>
      <c r="BB52" s="382"/>
      <c r="BC52" s="382"/>
      <c r="BD52" s="343"/>
      <c r="BE52" s="343"/>
      <c r="BF52" s="346"/>
      <c r="BG52" s="346"/>
      <c r="BH52" s="346"/>
      <c r="BI52" s="346"/>
      <c r="BJ52" s="346"/>
      <c r="BK52" s="346"/>
      <c r="BL52" s="346"/>
      <c r="BM52" s="346"/>
      <c r="BN52" s="346"/>
      <c r="BO52" s="346"/>
      <c r="BP52" s="346"/>
      <c r="BQ52" s="346"/>
      <c r="BR52" s="346"/>
      <c r="BS52" s="346"/>
      <c r="BT52" s="346"/>
      <c r="BU52" s="346"/>
      <c r="BV52" s="346"/>
      <c r="BW52" s="346"/>
      <c r="BX52" s="346"/>
      <c r="BY52" s="346"/>
      <c r="BZ52" s="346"/>
      <c r="CA52" s="346"/>
      <c r="CB52" s="346"/>
      <c r="CC52" s="346"/>
      <c r="CD52" s="346"/>
      <c r="CE52" s="346"/>
      <c r="CF52" s="346"/>
      <c r="CG52" s="346"/>
      <c r="CH52" s="346"/>
      <c r="CI52" s="346"/>
      <c r="CJ52" s="346"/>
      <c r="CK52" s="346"/>
      <c r="CL52" s="346"/>
      <c r="CM52" s="346"/>
      <c r="CN52" s="346"/>
      <c r="CO52" s="346"/>
      <c r="CP52" s="346"/>
      <c r="CQ52" s="346"/>
      <c r="CR52" s="346"/>
      <c r="CS52" s="346"/>
      <c r="CT52" s="346"/>
      <c r="CU52" s="346"/>
      <c r="CV52" s="346"/>
      <c r="CW52" s="346"/>
      <c r="CX52" s="346"/>
      <c r="CY52" s="346"/>
      <c r="CZ52" s="346"/>
      <c r="DA52" s="346"/>
      <c r="DB52" s="346"/>
      <c r="DC52" s="346"/>
      <c r="DD52" s="346"/>
      <c r="DE52" s="346"/>
      <c r="DF52" s="346"/>
      <c r="DG52" s="346"/>
      <c r="DH52" s="342"/>
    </row>
    <row r="53" spans="15:112">
      <c r="R53" s="382"/>
      <c r="S53" s="382"/>
      <c r="T53" s="382"/>
      <c r="U53" s="382"/>
      <c r="V53" s="382"/>
      <c r="W53" s="382"/>
      <c r="X53" s="382"/>
      <c r="Y53" s="382"/>
      <c r="Z53" s="382"/>
      <c r="AA53" s="382"/>
      <c r="AB53" s="382"/>
      <c r="AC53" s="382"/>
      <c r="AD53" s="382"/>
      <c r="AE53" s="382"/>
      <c r="AF53" s="382"/>
      <c r="AG53" s="382"/>
      <c r="AH53" s="382"/>
      <c r="AI53" s="469"/>
      <c r="AJ53" s="469"/>
      <c r="AK53" s="382"/>
      <c r="AL53" s="382"/>
      <c r="AM53" s="382" t="s">
        <v>46</v>
      </c>
      <c r="AN53" s="469">
        <v>3198906</v>
      </c>
      <c r="AO53" s="469">
        <v>3251355</v>
      </c>
      <c r="AP53" s="382"/>
      <c r="AQ53" s="512" t="s">
        <v>69</v>
      </c>
      <c r="AR53" s="469">
        <v>11958698.469999999</v>
      </c>
      <c r="AS53" s="469">
        <v>12262542.77</v>
      </c>
      <c r="AT53" s="382"/>
      <c r="AU53" s="469">
        <v>11958</v>
      </c>
      <c r="AV53" s="469"/>
      <c r="AW53" s="469"/>
      <c r="AX53" s="382"/>
      <c r="AY53" s="382"/>
      <c r="AZ53" s="382"/>
      <c r="BA53" s="382"/>
      <c r="BB53" s="382"/>
      <c r="BC53" s="382"/>
      <c r="BD53" s="343"/>
      <c r="BE53" s="343"/>
      <c r="BF53" s="346"/>
      <c r="BG53" s="346"/>
      <c r="BH53" s="346"/>
      <c r="BI53" s="346"/>
      <c r="BJ53" s="346"/>
      <c r="BK53" s="346"/>
      <c r="BL53" s="346"/>
      <c r="BM53" s="346"/>
      <c r="BN53" s="346"/>
      <c r="BO53" s="346"/>
      <c r="BP53" s="346"/>
      <c r="BQ53" s="346"/>
      <c r="BR53" s="346"/>
      <c r="BS53" s="346"/>
      <c r="BT53" s="346"/>
      <c r="BU53" s="346"/>
      <c r="BV53" s="346"/>
      <c r="BW53" s="346"/>
      <c r="BX53" s="346"/>
      <c r="BY53" s="346"/>
      <c r="BZ53" s="346"/>
      <c r="CA53" s="346"/>
      <c r="CB53" s="346"/>
      <c r="CC53" s="346"/>
      <c r="CD53" s="346"/>
      <c r="CE53" s="346"/>
      <c r="CF53" s="346"/>
      <c r="CG53" s="346"/>
      <c r="CH53" s="346"/>
      <c r="CI53" s="346"/>
      <c r="CJ53" s="346"/>
      <c r="CK53" s="346"/>
      <c r="CL53" s="346"/>
      <c r="CM53" s="346"/>
      <c r="CN53" s="346"/>
      <c r="CO53" s="346"/>
      <c r="CP53" s="346"/>
      <c r="CQ53" s="346"/>
      <c r="CR53" s="346"/>
      <c r="CS53" s="346"/>
      <c r="CT53" s="346"/>
      <c r="CU53" s="346"/>
      <c r="CV53" s="346"/>
      <c r="CW53" s="346"/>
      <c r="CX53" s="346"/>
      <c r="CY53" s="346"/>
      <c r="CZ53" s="346"/>
      <c r="DA53" s="346"/>
      <c r="DB53" s="346"/>
      <c r="DC53" s="346"/>
      <c r="DD53" s="346"/>
      <c r="DE53" s="346"/>
      <c r="DF53" s="346"/>
      <c r="DG53" s="346"/>
      <c r="DH53" s="342"/>
    </row>
    <row r="54" spans="15:112">
      <c r="O54" s="537"/>
      <c r="P54" s="537"/>
      <c r="Q54" s="537"/>
      <c r="R54" s="538"/>
      <c r="S54" s="538"/>
      <c r="T54" s="538"/>
      <c r="U54" s="538"/>
      <c r="V54" s="538"/>
      <c r="W54" s="538"/>
      <c r="X54" s="538"/>
      <c r="Y54" s="538"/>
      <c r="Z54" s="382"/>
      <c r="AA54" s="382"/>
      <c r="AB54" s="382"/>
      <c r="AC54" s="382"/>
      <c r="AD54" s="382"/>
      <c r="AE54" s="382"/>
      <c r="AF54" s="382"/>
      <c r="AG54" s="382"/>
      <c r="AH54" s="382"/>
      <c r="AI54" s="469"/>
      <c r="AJ54" s="469"/>
      <c r="AK54" s="382"/>
      <c r="AL54" s="382"/>
      <c r="AM54" s="382" t="s">
        <v>59</v>
      </c>
      <c r="AN54" s="469">
        <v>117647524.60999998</v>
      </c>
      <c r="AO54" s="469">
        <v>90503795.420000002</v>
      </c>
      <c r="AP54" s="382"/>
      <c r="AQ54" s="512" t="s">
        <v>355</v>
      </c>
      <c r="AR54" s="469">
        <v>7779832.6700000009</v>
      </c>
      <c r="AS54" s="469">
        <v>7201802.1900000004</v>
      </c>
      <c r="AT54" s="382"/>
      <c r="AU54" s="469">
        <v>7779</v>
      </c>
      <c r="AV54" s="469"/>
      <c r="AW54" s="469"/>
      <c r="AX54" s="382"/>
      <c r="AY54" s="382"/>
      <c r="AZ54" s="382"/>
      <c r="BA54" s="382"/>
      <c r="BB54" s="382"/>
      <c r="BC54" s="382"/>
      <c r="BD54" s="343"/>
      <c r="BE54" s="343"/>
      <c r="BF54" s="346"/>
      <c r="BG54" s="346"/>
      <c r="BH54" s="346"/>
      <c r="BI54" s="346"/>
      <c r="BJ54" s="346"/>
      <c r="BK54" s="346"/>
      <c r="BL54" s="346"/>
      <c r="BM54" s="346"/>
      <c r="BN54" s="346"/>
      <c r="BO54" s="346"/>
      <c r="BP54" s="346"/>
      <c r="BQ54" s="346"/>
      <c r="BR54" s="346"/>
      <c r="BS54" s="346"/>
      <c r="BT54" s="346"/>
      <c r="BU54" s="346"/>
      <c r="BV54" s="346"/>
      <c r="BW54" s="346"/>
      <c r="BX54" s="346"/>
      <c r="BY54" s="346"/>
      <c r="BZ54" s="346"/>
      <c r="CA54" s="346"/>
      <c r="CB54" s="346"/>
      <c r="CC54" s="346"/>
      <c r="CD54" s="346"/>
      <c r="CE54" s="346"/>
      <c r="CF54" s="346"/>
      <c r="CG54" s="346"/>
      <c r="CH54" s="346"/>
      <c r="CI54" s="346"/>
      <c r="CJ54" s="346"/>
      <c r="CK54" s="346"/>
      <c r="CL54" s="346"/>
      <c r="CM54" s="346"/>
      <c r="CN54" s="346"/>
      <c r="CO54" s="346"/>
      <c r="CP54" s="346"/>
      <c r="CQ54" s="346"/>
      <c r="CR54" s="346"/>
      <c r="CS54" s="346"/>
      <c r="CT54" s="346"/>
      <c r="CU54" s="346"/>
      <c r="CV54" s="346"/>
      <c r="CW54" s="346"/>
      <c r="CX54" s="346"/>
      <c r="CY54" s="346"/>
      <c r="CZ54" s="346"/>
      <c r="DA54" s="346"/>
      <c r="DB54" s="346"/>
      <c r="DC54" s="346"/>
      <c r="DD54" s="346"/>
      <c r="DE54" s="346"/>
      <c r="DF54" s="346"/>
      <c r="DG54" s="346"/>
      <c r="DH54" s="342"/>
    </row>
    <row r="55" spans="15:112">
      <c r="O55" s="539"/>
      <c r="P55" s="539"/>
      <c r="Q55" s="539"/>
      <c r="R55" s="540"/>
      <c r="S55" s="540"/>
      <c r="T55" s="540"/>
      <c r="U55" s="540"/>
      <c r="V55" s="540"/>
      <c r="W55" s="540"/>
      <c r="X55" s="540"/>
      <c r="Y55" s="540"/>
      <c r="Z55" s="382"/>
      <c r="AA55" s="382"/>
      <c r="AB55" s="382"/>
      <c r="AC55" s="382"/>
      <c r="AD55" s="382"/>
      <c r="AE55" s="382"/>
      <c r="AF55" s="382"/>
      <c r="AG55" s="382"/>
      <c r="AH55" s="382"/>
      <c r="AI55" s="469"/>
      <c r="AJ55" s="469"/>
      <c r="AK55" s="382"/>
      <c r="AL55" s="382"/>
      <c r="AM55" s="382" t="s">
        <v>62</v>
      </c>
      <c r="AN55" s="469">
        <v>44399813.890000001</v>
      </c>
      <c r="AO55" s="469">
        <v>57433951.340000004</v>
      </c>
      <c r="AP55" s="382"/>
      <c r="AQ55" s="512" t="s">
        <v>46</v>
      </c>
      <c r="AR55" s="469">
        <v>3198906</v>
      </c>
      <c r="AS55" s="469">
        <v>3251355</v>
      </c>
      <c r="AT55" s="382"/>
      <c r="AU55" s="469">
        <v>3198</v>
      </c>
      <c r="AV55" s="469"/>
      <c r="AW55" s="469"/>
      <c r="AX55" s="382"/>
      <c r="AY55" s="382"/>
      <c r="AZ55" s="382"/>
      <c r="BA55" s="382"/>
      <c r="BB55" s="382"/>
      <c r="BC55" s="382"/>
      <c r="BD55" s="343"/>
      <c r="BE55" s="343"/>
      <c r="BF55" s="346"/>
      <c r="BG55" s="346"/>
      <c r="BH55" s="346"/>
      <c r="BI55" s="346"/>
      <c r="BJ55" s="346"/>
      <c r="BK55" s="346"/>
      <c r="BL55" s="346"/>
      <c r="BM55" s="346"/>
      <c r="BN55" s="346"/>
      <c r="BO55" s="346"/>
      <c r="BP55" s="346"/>
      <c r="BQ55" s="346"/>
      <c r="BR55" s="346"/>
      <c r="BS55" s="346"/>
      <c r="BT55" s="346"/>
      <c r="BU55" s="346"/>
      <c r="BV55" s="346"/>
      <c r="BW55" s="346"/>
      <c r="BX55" s="346"/>
      <c r="BY55" s="346"/>
      <c r="BZ55" s="346"/>
      <c r="CA55" s="346"/>
      <c r="CB55" s="346"/>
      <c r="CC55" s="346"/>
      <c r="CD55" s="346"/>
      <c r="CE55" s="346"/>
      <c r="CF55" s="346"/>
      <c r="CG55" s="346"/>
      <c r="CH55" s="346"/>
      <c r="CI55" s="346"/>
      <c r="CJ55" s="346"/>
      <c r="CK55" s="346"/>
      <c r="CL55" s="346"/>
      <c r="CM55" s="346"/>
      <c r="CN55" s="346"/>
      <c r="CO55" s="346"/>
      <c r="CP55" s="346"/>
      <c r="CQ55" s="346"/>
      <c r="CR55" s="346"/>
      <c r="CS55" s="346"/>
      <c r="CT55" s="346"/>
      <c r="CU55" s="346"/>
      <c r="CV55" s="346"/>
      <c r="CW55" s="346"/>
      <c r="CX55" s="346"/>
      <c r="CY55" s="346"/>
      <c r="CZ55" s="346"/>
      <c r="DA55" s="346"/>
      <c r="DB55" s="346"/>
      <c r="DC55" s="346"/>
      <c r="DD55" s="346"/>
      <c r="DE55" s="346"/>
      <c r="DF55" s="346"/>
      <c r="DG55" s="346"/>
      <c r="DH55" s="342"/>
    </row>
    <row r="56" spans="15:112">
      <c r="AA56" s="382"/>
      <c r="AB56" s="382"/>
      <c r="AC56" s="382"/>
      <c r="AD56" s="382"/>
      <c r="AE56" s="382"/>
      <c r="AF56" s="382"/>
      <c r="AG56" s="382"/>
      <c r="AH56" s="382"/>
      <c r="AI56" s="469"/>
      <c r="AJ56" s="469"/>
      <c r="AK56" s="382"/>
      <c r="AL56" s="382"/>
      <c r="AM56" s="382" t="s">
        <v>355</v>
      </c>
      <c r="AN56" s="469">
        <v>7779832.6700000009</v>
      </c>
      <c r="AO56" s="469">
        <v>7201802.1900000004</v>
      </c>
      <c r="AP56" s="382"/>
      <c r="AQ56" s="512" t="s">
        <v>538</v>
      </c>
      <c r="AR56" s="469">
        <v>364377</v>
      </c>
      <c r="AS56" s="469">
        <v>787243.5</v>
      </c>
      <c r="AT56" s="382"/>
      <c r="AU56" s="469">
        <v>364</v>
      </c>
      <c r="AV56" s="469"/>
      <c r="AW56" s="469"/>
      <c r="AX56" s="382"/>
      <c r="AY56" s="382"/>
      <c r="AZ56" s="382"/>
      <c r="BA56" s="382"/>
      <c r="BB56" s="382"/>
      <c r="BC56" s="382"/>
      <c r="BD56" s="343"/>
      <c r="BE56" s="343"/>
      <c r="BF56" s="346"/>
      <c r="BG56" s="346"/>
      <c r="BH56" s="346"/>
      <c r="BI56" s="346"/>
      <c r="BJ56" s="346"/>
      <c r="BK56" s="346"/>
      <c r="BL56" s="346"/>
      <c r="BM56" s="346"/>
      <c r="BN56" s="346"/>
      <c r="BO56" s="346"/>
      <c r="BP56" s="346"/>
      <c r="BQ56" s="346"/>
      <c r="BR56" s="346"/>
      <c r="BS56" s="346"/>
      <c r="BT56" s="346"/>
      <c r="BU56" s="346"/>
      <c r="BV56" s="346"/>
      <c r="BW56" s="346"/>
      <c r="BX56" s="346"/>
      <c r="BY56" s="346"/>
      <c r="BZ56" s="346"/>
      <c r="CA56" s="346"/>
      <c r="CB56" s="346"/>
      <c r="CC56" s="346"/>
      <c r="CD56" s="346"/>
      <c r="CE56" s="346"/>
      <c r="CF56" s="346"/>
      <c r="CG56" s="346"/>
      <c r="CH56" s="346"/>
      <c r="CI56" s="346"/>
      <c r="CJ56" s="346"/>
      <c r="CK56" s="346"/>
      <c r="CL56" s="346"/>
      <c r="CM56" s="346"/>
      <c r="CN56" s="346"/>
      <c r="CO56" s="346"/>
      <c r="CP56" s="346"/>
      <c r="CQ56" s="346"/>
      <c r="CR56" s="346"/>
      <c r="CS56" s="346"/>
      <c r="CT56" s="346"/>
      <c r="CU56" s="346"/>
      <c r="CV56" s="346"/>
      <c r="CW56" s="346"/>
      <c r="CX56" s="346"/>
      <c r="CY56" s="346"/>
      <c r="CZ56" s="346"/>
      <c r="DA56" s="346"/>
      <c r="DB56" s="346"/>
      <c r="DC56" s="346"/>
      <c r="DD56" s="346"/>
      <c r="DE56" s="346"/>
      <c r="DF56" s="346"/>
      <c r="DG56" s="346"/>
      <c r="DH56" s="342"/>
    </row>
    <row r="57" spans="15:112">
      <c r="AA57" s="382"/>
      <c r="AB57" s="382"/>
      <c r="AC57" s="382"/>
      <c r="AD57" s="382"/>
      <c r="AE57" s="382"/>
      <c r="AF57" s="382"/>
      <c r="AG57" s="382"/>
      <c r="AH57" s="382"/>
      <c r="AI57" s="469"/>
      <c r="AJ57" s="469"/>
      <c r="AK57" s="382"/>
      <c r="AL57" s="382"/>
      <c r="AM57" s="382" t="s">
        <v>68</v>
      </c>
      <c r="AN57" s="469">
        <v>37617622.759999998</v>
      </c>
      <c r="AO57" s="469">
        <v>33275579.440000001</v>
      </c>
      <c r="AP57" s="382"/>
      <c r="AQ57" s="512" t="s">
        <v>534</v>
      </c>
      <c r="AR57" s="469">
        <v>291839</v>
      </c>
      <c r="AS57" s="469">
        <v>213337</v>
      </c>
      <c r="AT57" s="382"/>
      <c r="AU57" s="469">
        <v>291</v>
      </c>
      <c r="AV57" s="469"/>
      <c r="AW57" s="469"/>
      <c r="AX57" s="382"/>
      <c r="AY57" s="382"/>
      <c r="AZ57" s="382"/>
      <c r="BA57" s="382"/>
      <c r="BB57" s="382"/>
      <c r="BC57" s="382"/>
      <c r="BD57" s="343"/>
      <c r="BE57" s="343"/>
      <c r="BF57" s="346"/>
      <c r="BG57" s="346"/>
      <c r="BH57" s="346"/>
      <c r="BI57" s="346"/>
      <c r="BJ57" s="346"/>
      <c r="BK57" s="346"/>
      <c r="BL57" s="346"/>
      <c r="BM57" s="346"/>
      <c r="BN57" s="346"/>
      <c r="BO57" s="346"/>
      <c r="BP57" s="346"/>
      <c r="BQ57" s="346"/>
      <c r="BR57" s="346"/>
      <c r="BS57" s="346"/>
      <c r="BT57" s="346"/>
      <c r="BU57" s="346"/>
      <c r="BV57" s="346"/>
      <c r="BW57" s="346"/>
      <c r="BX57" s="346"/>
      <c r="BY57" s="346"/>
      <c r="BZ57" s="346"/>
      <c r="CA57" s="346"/>
      <c r="CB57" s="346"/>
      <c r="CC57" s="346"/>
      <c r="CD57" s="346"/>
      <c r="CE57" s="346"/>
      <c r="CF57" s="346"/>
      <c r="CG57" s="346"/>
      <c r="CH57" s="346"/>
      <c r="CI57" s="346"/>
      <c r="CJ57" s="346"/>
      <c r="CK57" s="346"/>
      <c r="CL57" s="346"/>
      <c r="CM57" s="346"/>
      <c r="CN57" s="346"/>
      <c r="CO57" s="346"/>
      <c r="CP57" s="346"/>
      <c r="CQ57" s="346"/>
      <c r="CR57" s="346"/>
      <c r="CS57" s="346"/>
      <c r="CT57" s="346"/>
      <c r="CU57" s="346"/>
      <c r="CV57" s="346"/>
      <c r="CW57" s="346"/>
      <c r="CX57" s="346"/>
      <c r="CY57" s="346"/>
      <c r="CZ57" s="346"/>
      <c r="DA57" s="346"/>
      <c r="DB57" s="346"/>
      <c r="DC57" s="346"/>
      <c r="DD57" s="346"/>
      <c r="DE57" s="346"/>
      <c r="DF57" s="346"/>
      <c r="DG57" s="346"/>
      <c r="DH57" s="342"/>
    </row>
    <row r="58" spans="15:112">
      <c r="AA58" s="382"/>
      <c r="AB58" s="382"/>
      <c r="AC58" s="382"/>
      <c r="AD58" s="382"/>
      <c r="AE58" s="382"/>
      <c r="AF58" s="382"/>
      <c r="AG58" s="382"/>
      <c r="AH58" s="382"/>
      <c r="AI58" s="469"/>
      <c r="AJ58" s="469"/>
      <c r="AK58" s="382"/>
      <c r="AL58" s="382"/>
      <c r="AM58" s="382" t="s">
        <v>540</v>
      </c>
      <c r="AN58" s="469">
        <v>14231.73</v>
      </c>
      <c r="AO58" s="469">
        <v>26110.04</v>
      </c>
      <c r="AP58" s="382"/>
      <c r="AQ58" s="512" t="s">
        <v>537</v>
      </c>
      <c r="AR58" s="469">
        <v>417000</v>
      </c>
      <c r="AS58" s="469">
        <v>151100</v>
      </c>
      <c r="AT58" s="382"/>
      <c r="AU58" s="469">
        <v>417</v>
      </c>
      <c r="AV58" s="469"/>
      <c r="AW58" s="469"/>
      <c r="AX58" s="382"/>
      <c r="AY58" s="382"/>
      <c r="AZ58" s="382"/>
      <c r="BA58" s="382"/>
      <c r="BB58" s="382"/>
      <c r="BC58" s="382"/>
      <c r="BD58" s="343"/>
      <c r="BE58" s="343"/>
      <c r="BF58" s="346"/>
      <c r="BG58" s="346"/>
      <c r="BH58" s="346"/>
      <c r="BI58" s="346"/>
      <c r="BJ58" s="346"/>
      <c r="BK58" s="346"/>
      <c r="BL58" s="346"/>
      <c r="BM58" s="346"/>
      <c r="BN58" s="346"/>
      <c r="BO58" s="346"/>
      <c r="BP58" s="346"/>
      <c r="BQ58" s="346"/>
      <c r="BR58" s="346"/>
      <c r="BS58" s="346"/>
      <c r="BT58" s="346"/>
      <c r="BU58" s="346"/>
      <c r="BV58" s="346"/>
      <c r="BW58" s="346"/>
      <c r="BX58" s="346"/>
      <c r="BY58" s="346"/>
      <c r="BZ58" s="346"/>
      <c r="CA58" s="346"/>
      <c r="CB58" s="346"/>
      <c r="CC58" s="346"/>
      <c r="CD58" s="346"/>
      <c r="CE58" s="346"/>
      <c r="CF58" s="346"/>
      <c r="CG58" s="346"/>
      <c r="CH58" s="346"/>
      <c r="CI58" s="346"/>
      <c r="CJ58" s="346"/>
      <c r="CK58" s="346"/>
      <c r="CL58" s="346"/>
      <c r="CM58" s="346"/>
      <c r="CN58" s="346"/>
      <c r="CO58" s="346"/>
      <c r="CP58" s="346"/>
      <c r="CQ58" s="346"/>
      <c r="CR58" s="346"/>
      <c r="CS58" s="346"/>
      <c r="CT58" s="346"/>
      <c r="CU58" s="346"/>
      <c r="CV58" s="346"/>
      <c r="CW58" s="346"/>
      <c r="CX58" s="346"/>
      <c r="CY58" s="346"/>
      <c r="CZ58" s="346"/>
      <c r="DA58" s="346"/>
      <c r="DB58" s="346"/>
      <c r="DC58" s="346"/>
      <c r="DD58" s="346"/>
      <c r="DE58" s="346"/>
      <c r="DF58" s="346"/>
      <c r="DG58" s="346"/>
      <c r="DH58" s="342"/>
    </row>
    <row r="59" spans="15:112">
      <c r="AA59" s="382"/>
      <c r="AB59" s="382"/>
      <c r="AC59" s="382"/>
      <c r="AD59" s="382"/>
      <c r="AE59" s="382"/>
      <c r="AF59" s="382"/>
      <c r="AG59" s="382"/>
      <c r="AH59" s="382"/>
      <c r="AI59" s="469"/>
      <c r="AJ59" s="469"/>
      <c r="AK59" s="382"/>
      <c r="AL59" s="382"/>
      <c r="AM59" s="382" t="s">
        <v>61</v>
      </c>
      <c r="AN59" s="469">
        <v>156168258</v>
      </c>
      <c r="AO59" s="469">
        <v>113372857.31999999</v>
      </c>
      <c r="AP59" s="382"/>
      <c r="AQ59" s="512" t="s">
        <v>539</v>
      </c>
      <c r="AR59" s="469">
        <v>125000</v>
      </c>
      <c r="AS59" s="469">
        <v>110530</v>
      </c>
      <c r="AT59" s="382"/>
      <c r="AU59" s="469">
        <v>14232</v>
      </c>
      <c r="AV59" s="469"/>
      <c r="AW59" s="469"/>
      <c r="AX59" s="382"/>
      <c r="AY59" s="382"/>
      <c r="AZ59" s="382"/>
      <c r="BA59" s="382"/>
      <c r="BB59" s="382"/>
      <c r="BC59" s="382"/>
      <c r="BD59" s="343"/>
      <c r="BE59" s="343"/>
      <c r="BF59" s="346"/>
      <c r="BG59" s="346"/>
      <c r="BH59" s="346"/>
      <c r="BI59" s="346"/>
      <c r="BJ59" s="346"/>
      <c r="BK59" s="346"/>
      <c r="BL59" s="346"/>
      <c r="BM59" s="346"/>
      <c r="BN59" s="346"/>
      <c r="BO59" s="346"/>
      <c r="BP59" s="346"/>
      <c r="BQ59" s="346"/>
      <c r="BR59" s="346"/>
      <c r="BS59" s="346"/>
      <c r="BT59" s="346"/>
      <c r="BU59" s="346"/>
      <c r="BV59" s="346"/>
      <c r="BW59" s="346"/>
      <c r="BX59" s="346"/>
      <c r="BY59" s="346"/>
      <c r="BZ59" s="346"/>
      <c r="CA59" s="346"/>
      <c r="CB59" s="346"/>
      <c r="CC59" s="346"/>
      <c r="CD59" s="346"/>
      <c r="CE59" s="346"/>
      <c r="CF59" s="346"/>
      <c r="CG59" s="346"/>
      <c r="CH59" s="346"/>
      <c r="CI59" s="346"/>
      <c r="CJ59" s="346"/>
      <c r="CK59" s="346"/>
      <c r="CL59" s="346"/>
      <c r="CM59" s="346"/>
      <c r="CN59" s="346"/>
      <c r="CO59" s="346"/>
      <c r="CP59" s="346"/>
      <c r="CQ59" s="346"/>
      <c r="CR59" s="346"/>
      <c r="CS59" s="346"/>
      <c r="CT59" s="346"/>
      <c r="CU59" s="346"/>
      <c r="CV59" s="346"/>
      <c r="CW59" s="346"/>
      <c r="CX59" s="346"/>
      <c r="CY59" s="346"/>
      <c r="CZ59" s="346"/>
      <c r="DA59" s="346"/>
      <c r="DB59" s="346"/>
      <c r="DC59" s="346"/>
      <c r="DD59" s="346"/>
      <c r="DE59" s="346"/>
      <c r="DF59" s="346"/>
      <c r="DG59" s="346"/>
      <c r="DH59" s="342"/>
    </row>
    <row r="60" spans="15:112">
      <c r="AA60" s="382"/>
      <c r="AB60" s="382"/>
      <c r="AC60" s="382"/>
      <c r="AD60" s="382"/>
      <c r="AE60" s="382"/>
      <c r="AF60" s="382"/>
      <c r="AG60" s="382"/>
      <c r="AH60" s="382"/>
      <c r="AI60" s="469"/>
      <c r="AJ60" s="469"/>
      <c r="AK60" s="382"/>
      <c r="AL60" s="382"/>
      <c r="AM60" s="382" t="s">
        <v>541</v>
      </c>
      <c r="AN60" s="469">
        <v>0</v>
      </c>
      <c r="AO60" s="469">
        <v>16000</v>
      </c>
      <c r="AP60" s="382"/>
      <c r="AQ60" s="512" t="s">
        <v>540</v>
      </c>
      <c r="AR60" s="469">
        <v>14231.73</v>
      </c>
      <c r="AS60" s="469">
        <v>26110.04</v>
      </c>
      <c r="AT60" s="382"/>
      <c r="AU60" s="469"/>
      <c r="AV60" s="469"/>
      <c r="AW60" s="469"/>
      <c r="AX60" s="382"/>
      <c r="AY60" s="382"/>
      <c r="AZ60" s="382"/>
      <c r="BA60" s="382"/>
      <c r="BB60" s="382"/>
      <c r="BC60" s="382"/>
      <c r="BD60" s="343"/>
      <c r="BE60" s="343"/>
      <c r="BF60" s="346"/>
      <c r="BG60" s="346"/>
      <c r="BH60" s="346"/>
      <c r="BI60" s="346"/>
      <c r="BJ60" s="346"/>
      <c r="BK60" s="346"/>
      <c r="BL60" s="346"/>
      <c r="BM60" s="346"/>
      <c r="BN60" s="346"/>
      <c r="BO60" s="346"/>
      <c r="BP60" s="346"/>
      <c r="BQ60" s="346"/>
      <c r="BR60" s="346"/>
      <c r="BS60" s="346"/>
      <c r="BT60" s="346"/>
      <c r="BU60" s="346"/>
      <c r="BV60" s="346"/>
      <c r="BW60" s="346"/>
      <c r="BX60" s="346"/>
      <c r="BY60" s="346"/>
      <c r="BZ60" s="346"/>
      <c r="CA60" s="346"/>
      <c r="CB60" s="346"/>
      <c r="CC60" s="346"/>
      <c r="CD60" s="346"/>
      <c r="CE60" s="346"/>
      <c r="CF60" s="346"/>
      <c r="CG60" s="346"/>
      <c r="CH60" s="346"/>
      <c r="CI60" s="346"/>
      <c r="CJ60" s="346"/>
      <c r="CK60" s="346"/>
      <c r="CL60" s="346"/>
      <c r="CM60" s="346"/>
      <c r="CN60" s="346"/>
      <c r="CO60" s="346"/>
      <c r="CP60" s="346"/>
      <c r="CQ60" s="346"/>
      <c r="CR60" s="346"/>
      <c r="CS60" s="346"/>
      <c r="CT60" s="346"/>
      <c r="CU60" s="346"/>
      <c r="CV60" s="346"/>
      <c r="CW60" s="346"/>
      <c r="CX60" s="346"/>
      <c r="CY60" s="346"/>
      <c r="CZ60" s="346"/>
      <c r="DA60" s="346"/>
      <c r="DB60" s="346"/>
      <c r="DC60" s="346"/>
      <c r="DD60" s="346"/>
      <c r="DE60" s="346"/>
      <c r="DF60" s="346"/>
      <c r="DG60" s="346"/>
      <c r="DH60" s="342"/>
    </row>
    <row r="61" spans="15:112">
      <c r="AA61" s="382"/>
      <c r="AB61" s="382"/>
      <c r="AC61" s="382"/>
      <c r="AD61" s="382"/>
      <c r="AE61" s="382"/>
      <c r="AF61" s="382"/>
      <c r="AG61" s="382"/>
      <c r="AH61" s="382"/>
      <c r="AI61" s="469"/>
      <c r="AJ61" s="469"/>
      <c r="AK61" s="382"/>
      <c r="AL61" s="382"/>
      <c r="AM61" s="382"/>
      <c r="AN61" s="382"/>
      <c r="AO61" s="382"/>
      <c r="AP61" s="382"/>
      <c r="AQ61" s="512" t="s">
        <v>541</v>
      </c>
      <c r="AR61" s="469">
        <v>0</v>
      </c>
      <c r="AS61" s="469">
        <v>16000</v>
      </c>
      <c r="AT61" s="382"/>
      <c r="AU61" s="469"/>
      <c r="AV61" s="469"/>
      <c r="AW61" s="469"/>
      <c r="AX61" s="382"/>
      <c r="AY61" s="382"/>
      <c r="AZ61" s="382"/>
      <c r="BA61" s="382"/>
      <c r="BB61" s="382"/>
      <c r="BC61" s="382"/>
      <c r="BD61" s="343"/>
      <c r="BE61" s="343"/>
      <c r="BF61" s="346"/>
      <c r="BG61" s="346"/>
      <c r="BH61" s="346"/>
      <c r="BI61" s="346"/>
      <c r="BJ61" s="346"/>
      <c r="BK61" s="346"/>
      <c r="BL61" s="346"/>
      <c r="BM61" s="346"/>
      <c r="BN61" s="346"/>
      <c r="BO61" s="346"/>
      <c r="BP61" s="346"/>
      <c r="BQ61" s="346"/>
      <c r="BR61" s="346"/>
      <c r="BS61" s="346"/>
      <c r="BT61" s="346"/>
      <c r="BU61" s="346"/>
      <c r="BV61" s="346"/>
      <c r="BW61" s="346"/>
      <c r="BX61" s="346"/>
      <c r="BY61" s="346"/>
      <c r="BZ61" s="346"/>
      <c r="CA61" s="346"/>
      <c r="CB61" s="346"/>
      <c r="CC61" s="346"/>
      <c r="CD61" s="346"/>
      <c r="CE61" s="346"/>
      <c r="CF61" s="346"/>
      <c r="CG61" s="346"/>
      <c r="CH61" s="346"/>
      <c r="CI61" s="346"/>
      <c r="CJ61" s="346"/>
      <c r="CK61" s="346"/>
      <c r="CL61" s="346"/>
      <c r="CM61" s="346"/>
      <c r="CN61" s="346"/>
      <c r="CO61" s="346"/>
      <c r="CP61" s="346"/>
      <c r="CQ61" s="346"/>
      <c r="CR61" s="346"/>
      <c r="CS61" s="346"/>
      <c r="CT61" s="346"/>
      <c r="CU61" s="346"/>
      <c r="CV61" s="346"/>
      <c r="CW61" s="346"/>
      <c r="CX61" s="346"/>
      <c r="CY61" s="346"/>
      <c r="CZ61" s="346"/>
      <c r="DA61" s="346"/>
      <c r="DB61" s="346"/>
      <c r="DC61" s="346"/>
      <c r="DD61" s="346"/>
      <c r="DE61" s="346"/>
      <c r="DF61" s="346"/>
      <c r="DG61" s="346"/>
      <c r="DH61" s="342"/>
    </row>
    <row r="62" spans="15:112">
      <c r="AA62" s="382"/>
      <c r="AB62" s="382"/>
      <c r="AC62" s="382"/>
      <c r="AD62" s="382"/>
      <c r="AE62" s="382"/>
      <c r="AF62" s="382"/>
      <c r="AG62" s="382"/>
      <c r="AH62" s="382"/>
      <c r="AI62" s="469"/>
      <c r="AJ62" s="469"/>
      <c r="AK62" s="382"/>
      <c r="AL62" s="382"/>
      <c r="AM62" s="382"/>
      <c r="AN62" s="469">
        <f>SUM(AN37:AN60)</f>
        <v>1651111636</v>
      </c>
      <c r="AO62" s="469">
        <f>SUM(AO37:AO60)</f>
        <v>1560579250.6200001</v>
      </c>
      <c r="AP62" s="382"/>
      <c r="AQ62" s="512" t="s">
        <v>407</v>
      </c>
      <c r="AR62" s="469">
        <v>1651111636</v>
      </c>
      <c r="AS62" s="469">
        <v>1560579250.6200001</v>
      </c>
      <c r="AT62" s="382"/>
      <c r="AU62" s="382"/>
      <c r="AV62" s="382"/>
      <c r="AW62" s="382"/>
      <c r="AX62" s="382"/>
      <c r="AY62" s="382"/>
      <c r="AZ62" s="382"/>
      <c r="BA62" s="382"/>
      <c r="BB62" s="382"/>
      <c r="BC62" s="382"/>
      <c r="BD62" s="343"/>
      <c r="BE62" s="343"/>
      <c r="BF62" s="346"/>
      <c r="BG62" s="346"/>
      <c r="BH62" s="346"/>
      <c r="BI62" s="346"/>
      <c r="BJ62" s="346"/>
      <c r="BK62" s="346"/>
      <c r="BL62" s="346"/>
      <c r="BM62" s="346"/>
      <c r="BN62" s="346"/>
      <c r="BO62" s="346"/>
      <c r="BP62" s="346"/>
      <c r="BQ62" s="346"/>
      <c r="BR62" s="346"/>
      <c r="BS62" s="346"/>
      <c r="BT62" s="346"/>
      <c r="BU62" s="346"/>
      <c r="BV62" s="346"/>
      <c r="BW62" s="346"/>
      <c r="BX62" s="346"/>
      <c r="BY62" s="346"/>
      <c r="BZ62" s="346"/>
      <c r="CA62" s="346"/>
      <c r="CB62" s="346"/>
      <c r="CC62" s="346"/>
      <c r="CD62" s="346"/>
      <c r="CE62" s="346"/>
      <c r="CF62" s="346"/>
      <c r="CG62" s="346"/>
      <c r="CH62" s="346"/>
      <c r="CI62" s="346"/>
      <c r="CJ62" s="346"/>
      <c r="CK62" s="346"/>
      <c r="CL62" s="346"/>
      <c r="CM62" s="346"/>
      <c r="CN62" s="346"/>
      <c r="CO62" s="346"/>
      <c r="CP62" s="346"/>
      <c r="CQ62" s="346"/>
      <c r="CR62" s="346"/>
      <c r="CS62" s="346"/>
      <c r="CT62" s="346"/>
      <c r="CU62" s="346"/>
      <c r="CV62" s="346"/>
      <c r="CW62" s="346"/>
      <c r="CX62" s="346"/>
      <c r="CY62" s="346"/>
      <c r="CZ62" s="346"/>
      <c r="DA62" s="346"/>
      <c r="DB62" s="346"/>
      <c r="DC62" s="346"/>
      <c r="DD62" s="346"/>
      <c r="DE62" s="346"/>
      <c r="DF62" s="346"/>
      <c r="DG62" s="346"/>
      <c r="DH62" s="342"/>
    </row>
    <row r="63" spans="15:112">
      <c r="AA63" s="382"/>
      <c r="AB63" s="382"/>
      <c r="AC63" s="382"/>
      <c r="AD63" s="382"/>
      <c r="AE63" s="382"/>
      <c r="AF63" s="382"/>
      <c r="AG63" s="382"/>
      <c r="AH63" s="382"/>
      <c r="AI63" s="469"/>
      <c r="AJ63" s="469"/>
      <c r="AK63" s="382"/>
      <c r="AL63" s="382"/>
      <c r="AM63" s="382"/>
      <c r="AN63" s="382"/>
      <c r="AO63" s="382"/>
      <c r="AP63" s="382"/>
      <c r="AQ63" s="382"/>
      <c r="AR63" s="382"/>
      <c r="AS63" s="382"/>
      <c r="AT63" s="382"/>
      <c r="AU63" s="382"/>
      <c r="AV63" s="382"/>
      <c r="AW63" s="382"/>
      <c r="AX63" s="382"/>
      <c r="AY63" s="382"/>
      <c r="AZ63" s="382"/>
      <c r="BA63" s="382"/>
      <c r="BB63" s="382"/>
      <c r="BC63" s="382"/>
      <c r="BD63" s="343"/>
      <c r="BE63" s="343"/>
      <c r="BF63" s="346"/>
      <c r="BG63" s="346"/>
      <c r="BH63" s="346"/>
      <c r="BI63" s="346"/>
      <c r="BJ63" s="346"/>
      <c r="BK63" s="346"/>
      <c r="BL63" s="346"/>
      <c r="BM63" s="346"/>
      <c r="BN63" s="346"/>
      <c r="BO63" s="346"/>
      <c r="BP63" s="346"/>
      <c r="BQ63" s="346"/>
      <c r="BR63" s="346"/>
      <c r="BS63" s="346"/>
      <c r="BT63" s="346"/>
      <c r="BU63" s="346"/>
      <c r="BV63" s="346"/>
      <c r="BW63" s="346"/>
      <c r="BX63" s="346"/>
      <c r="BY63" s="346"/>
      <c r="BZ63" s="346"/>
      <c r="CA63" s="346"/>
      <c r="CB63" s="346"/>
      <c r="CC63" s="346"/>
      <c r="CD63" s="346"/>
      <c r="CE63" s="346"/>
      <c r="CF63" s="346"/>
      <c r="CG63" s="346"/>
      <c r="CH63" s="346"/>
      <c r="CI63" s="346"/>
      <c r="CJ63" s="346"/>
      <c r="CK63" s="346"/>
      <c r="CL63" s="346"/>
      <c r="CM63" s="346"/>
      <c r="CN63" s="346"/>
      <c r="CO63" s="346"/>
      <c r="CP63" s="346"/>
      <c r="CQ63" s="346"/>
      <c r="CR63" s="346"/>
      <c r="CS63" s="346"/>
      <c r="CT63" s="346"/>
      <c r="CU63" s="346"/>
      <c r="CV63" s="346"/>
      <c r="CW63" s="346"/>
      <c r="CX63" s="346"/>
      <c r="CY63" s="346"/>
      <c r="CZ63" s="346"/>
      <c r="DA63" s="346"/>
      <c r="DB63" s="346"/>
      <c r="DC63" s="346"/>
      <c r="DD63" s="346"/>
      <c r="DE63" s="346"/>
      <c r="DF63" s="346"/>
      <c r="DG63" s="346"/>
      <c r="DH63" s="342"/>
    </row>
    <row r="64" spans="15:112">
      <c r="AA64" s="382"/>
      <c r="AB64" s="382"/>
      <c r="AC64" s="382"/>
      <c r="AD64" s="382"/>
      <c r="AE64" s="382"/>
      <c r="AF64" s="382"/>
      <c r="AG64" s="382"/>
      <c r="AH64" s="382"/>
      <c r="AI64" s="469"/>
      <c r="AJ64" s="469"/>
      <c r="AK64" s="382"/>
      <c r="AL64" s="382"/>
      <c r="AM64" s="382"/>
      <c r="AN64" s="382"/>
      <c r="AO64" s="382"/>
      <c r="AP64" s="382"/>
      <c r="AQ64" s="382"/>
      <c r="AR64" s="382"/>
      <c r="AS64" s="382"/>
      <c r="AT64" s="382"/>
      <c r="AU64" s="382"/>
      <c r="AV64" s="382"/>
      <c r="AW64" s="382"/>
      <c r="AX64" s="382"/>
      <c r="AY64" s="382"/>
      <c r="AZ64" s="382"/>
      <c r="BA64" s="382"/>
      <c r="BB64" s="382"/>
      <c r="BC64" s="383"/>
      <c r="BD64" s="343"/>
      <c r="BE64" s="343"/>
      <c r="BF64" s="346"/>
      <c r="BG64" s="346"/>
      <c r="BH64" s="346"/>
      <c r="BI64" s="346"/>
      <c r="BJ64" s="346"/>
      <c r="BK64" s="346"/>
      <c r="BL64" s="346"/>
      <c r="BM64" s="346"/>
      <c r="BN64" s="346"/>
      <c r="BO64" s="346"/>
      <c r="BP64" s="346"/>
      <c r="BQ64" s="346"/>
      <c r="BR64" s="346"/>
      <c r="BS64" s="346"/>
      <c r="BT64" s="346"/>
      <c r="BU64" s="346"/>
      <c r="BV64" s="346"/>
      <c r="BW64" s="346"/>
      <c r="BX64" s="346"/>
      <c r="BY64" s="346"/>
      <c r="BZ64" s="346"/>
      <c r="CA64" s="346"/>
      <c r="CB64" s="346"/>
      <c r="CC64" s="346"/>
      <c r="CD64" s="346"/>
      <c r="CE64" s="346"/>
      <c r="CF64" s="346"/>
      <c r="CG64" s="346"/>
      <c r="CH64" s="346"/>
      <c r="CI64" s="346"/>
      <c r="CJ64" s="346"/>
      <c r="CK64" s="346"/>
      <c r="CL64" s="346"/>
      <c r="CM64" s="346"/>
      <c r="CN64" s="346"/>
      <c r="CO64" s="346"/>
      <c r="CP64" s="346"/>
      <c r="CQ64" s="346"/>
      <c r="CR64" s="346"/>
      <c r="CS64" s="346"/>
      <c r="CT64" s="346"/>
      <c r="CU64" s="346"/>
      <c r="CV64" s="346"/>
      <c r="CW64" s="346"/>
      <c r="CX64" s="346"/>
      <c r="CY64" s="346"/>
      <c r="CZ64" s="346"/>
      <c r="DA64" s="346"/>
      <c r="DB64" s="346"/>
      <c r="DC64" s="346"/>
      <c r="DD64" s="346"/>
      <c r="DE64" s="346"/>
      <c r="DF64" s="346"/>
      <c r="DG64" s="346"/>
      <c r="DH64" s="342"/>
    </row>
    <row r="65" spans="3:112">
      <c r="BB65" s="342"/>
      <c r="BC65" s="342"/>
      <c r="BD65" s="342"/>
      <c r="BE65" s="342"/>
      <c r="BF65" s="342"/>
      <c r="BG65" s="342"/>
      <c r="BH65" s="342"/>
      <c r="BI65" s="342"/>
      <c r="BJ65" s="342"/>
      <c r="BK65" s="342"/>
      <c r="BL65" s="342"/>
      <c r="BM65" s="342"/>
      <c r="BN65" s="342"/>
      <c r="BO65" s="342"/>
      <c r="BP65" s="342"/>
      <c r="BQ65" s="342"/>
      <c r="BR65" s="342"/>
      <c r="BS65" s="342"/>
      <c r="BT65" s="342"/>
      <c r="BU65" s="342"/>
      <c r="BV65" s="342"/>
      <c r="BW65" s="342"/>
      <c r="BX65" s="342"/>
      <c r="BY65" s="342"/>
      <c r="BZ65" s="342"/>
      <c r="CA65" s="342"/>
      <c r="CB65" s="342"/>
      <c r="CC65" s="342"/>
      <c r="CD65" s="342"/>
      <c r="CE65" s="342"/>
      <c r="CF65" s="342"/>
      <c r="CG65" s="342"/>
      <c r="CH65" s="342"/>
      <c r="CI65" s="342"/>
      <c r="CJ65" s="342"/>
      <c r="CK65" s="342"/>
      <c r="CL65" s="342"/>
      <c r="CM65" s="342"/>
      <c r="CN65" s="342"/>
      <c r="CO65" s="342"/>
      <c r="CP65" s="342"/>
      <c r="CQ65" s="342"/>
      <c r="CR65" s="342"/>
      <c r="CS65" s="342"/>
      <c r="CT65" s="342"/>
      <c r="CU65" s="342"/>
      <c r="CV65" s="342"/>
      <c r="CW65" s="342"/>
      <c r="CX65" s="342"/>
      <c r="CY65" s="342"/>
      <c r="CZ65" s="342"/>
      <c r="DA65" s="342"/>
      <c r="DB65" s="342"/>
      <c r="DC65" s="342"/>
      <c r="DD65" s="342"/>
      <c r="DE65" s="342"/>
      <c r="DF65" s="342"/>
      <c r="DG65" s="342"/>
      <c r="DH65" s="342"/>
    </row>
    <row r="66" spans="3:112">
      <c r="BB66" s="342"/>
      <c r="BC66" s="342"/>
      <c r="BD66" s="342"/>
      <c r="BE66" s="342"/>
      <c r="BF66" s="342"/>
      <c r="BG66" s="342"/>
      <c r="BH66" s="342"/>
      <c r="BI66" s="342"/>
      <c r="BJ66" s="342"/>
      <c r="BK66" s="342"/>
      <c r="BL66" s="342"/>
      <c r="BM66" s="342"/>
      <c r="BN66" s="342"/>
      <c r="BO66" s="342"/>
      <c r="BP66" s="342"/>
      <c r="BQ66" s="342"/>
      <c r="BR66" s="342"/>
      <c r="BS66" s="342"/>
      <c r="BT66" s="342"/>
      <c r="BU66" s="342"/>
      <c r="BV66" s="342"/>
      <c r="BW66" s="342"/>
      <c r="BX66" s="342"/>
      <c r="BY66" s="342"/>
      <c r="BZ66" s="342"/>
      <c r="CA66" s="342"/>
      <c r="CB66" s="342"/>
      <c r="CC66" s="342"/>
      <c r="CD66" s="342"/>
      <c r="CE66" s="342"/>
      <c r="CF66" s="342"/>
      <c r="CG66" s="342"/>
      <c r="CH66" s="342"/>
      <c r="CI66" s="342"/>
      <c r="CJ66" s="342"/>
      <c r="CK66" s="342"/>
      <c r="CL66" s="342"/>
      <c r="CM66" s="342"/>
      <c r="CN66" s="342"/>
      <c r="CO66" s="342"/>
      <c r="CP66" s="342"/>
      <c r="CQ66" s="342"/>
      <c r="CR66" s="342"/>
      <c r="CS66" s="342"/>
      <c r="CT66" s="342"/>
      <c r="CU66" s="342"/>
      <c r="CV66" s="342"/>
      <c r="CW66" s="342"/>
      <c r="CX66" s="342"/>
      <c r="CY66" s="342"/>
      <c r="CZ66" s="342"/>
      <c r="DA66" s="342"/>
      <c r="DB66" s="342"/>
      <c r="DC66" s="342"/>
      <c r="DD66" s="342"/>
      <c r="DE66" s="342"/>
      <c r="DF66" s="342"/>
      <c r="DG66" s="342"/>
      <c r="DH66" s="342"/>
    </row>
    <row r="71" spans="3:112">
      <c r="I71" s="583"/>
      <c r="J71" s="583"/>
      <c r="K71" s="583"/>
      <c r="L71" s="583"/>
      <c r="M71" s="583"/>
    </row>
    <row r="72" spans="3:112">
      <c r="C72" s="365"/>
    </row>
    <row r="73" spans="3:112">
      <c r="C73" s="370"/>
    </row>
    <row r="74" spans="3:112">
      <c r="C74" s="370"/>
    </row>
    <row r="75" spans="3:112">
      <c r="C75" s="370"/>
      <c r="D75" s="438"/>
      <c r="E75" s="438"/>
      <c r="F75" s="438"/>
      <c r="G75" s="438"/>
    </row>
    <row r="76" spans="3:112">
      <c r="C76" s="374"/>
      <c r="D76" s="438"/>
      <c r="E76" s="438"/>
      <c r="F76" s="438"/>
      <c r="G76" s="438"/>
    </row>
    <row r="77" spans="3:112">
      <c r="C77" s="377"/>
      <c r="D77" s="438"/>
      <c r="E77" s="438"/>
      <c r="F77" s="438"/>
      <c r="G77" s="438"/>
    </row>
    <row r="78" spans="3:112">
      <c r="C78" s="377"/>
      <c r="D78" s="438"/>
      <c r="E78" s="438"/>
      <c r="F78" s="438"/>
      <c r="G78" s="438"/>
    </row>
    <row r="79" spans="3:112">
      <c r="D79" s="438"/>
      <c r="E79" s="438"/>
      <c r="F79" s="438"/>
      <c r="G79" s="438"/>
    </row>
    <row r="80" spans="3:112">
      <c r="C80" s="377"/>
      <c r="D80" s="438"/>
      <c r="E80" s="438"/>
      <c r="F80" s="438"/>
      <c r="G80" s="438"/>
    </row>
    <row r="81" spans="3:7">
      <c r="C81" s="379"/>
      <c r="D81" s="437"/>
      <c r="E81" s="437"/>
      <c r="F81" s="437"/>
      <c r="G81" s="437"/>
    </row>
    <row r="82" spans="3:7">
      <c r="C82" s="379"/>
      <c r="D82" s="437"/>
      <c r="E82" s="437"/>
      <c r="F82" s="437"/>
      <c r="G82" s="437"/>
    </row>
  </sheetData>
  <mergeCells count="9">
    <mergeCell ref="C38:G39"/>
    <mergeCell ref="I44:O45"/>
    <mergeCell ref="I71:M71"/>
    <mergeCell ref="C3:K3"/>
    <mergeCell ref="C5:F5"/>
    <mergeCell ref="C6:F6"/>
    <mergeCell ref="C7:F7"/>
    <mergeCell ref="I35:O36"/>
    <mergeCell ref="C36:F36"/>
  </mergeCell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50"/>
  <sheetViews>
    <sheetView zoomScale="130" zoomScaleNormal="130" workbookViewId="0">
      <selection activeCell="B29" sqref="B29:I29"/>
    </sheetView>
  </sheetViews>
  <sheetFormatPr baseColWidth="10" defaultColWidth="11.5703125" defaultRowHeight="12" customHeight="1"/>
  <cols>
    <col min="1" max="1" width="15.28515625" style="150" customWidth="1"/>
    <col min="2" max="9" width="12.7109375" style="150" customWidth="1"/>
    <col min="10" max="16384" width="11.5703125" style="151"/>
  </cols>
  <sheetData>
    <row r="1" spans="1:9" ht="12" customHeight="1">
      <c r="A1" s="149" t="s">
        <v>221</v>
      </c>
    </row>
    <row r="2" spans="1:9" ht="12" customHeight="1">
      <c r="A2" s="152" t="s">
        <v>8</v>
      </c>
    </row>
    <row r="3" spans="1:9" s="53" customFormat="1" ht="12" customHeight="1">
      <c r="A3" s="47"/>
      <c r="B3" s="49"/>
      <c r="C3" s="49"/>
      <c r="D3" s="49"/>
      <c r="E3" s="49"/>
      <c r="F3" s="49"/>
      <c r="G3" s="49"/>
      <c r="H3" s="49"/>
      <c r="I3" s="49"/>
    </row>
    <row r="5" spans="1:9" ht="12" customHeight="1">
      <c r="A5" s="109" t="s">
        <v>0</v>
      </c>
      <c r="B5" s="109" t="s">
        <v>9</v>
      </c>
      <c r="C5" s="109" t="s">
        <v>16</v>
      </c>
      <c r="D5" s="109" t="s">
        <v>19</v>
      </c>
      <c r="E5" s="109" t="s">
        <v>22</v>
      </c>
      <c r="F5" s="109" t="s">
        <v>25</v>
      </c>
      <c r="G5" s="109" t="s">
        <v>222</v>
      </c>
      <c r="H5" s="109" t="s">
        <v>26</v>
      </c>
      <c r="I5" s="290" t="s">
        <v>29</v>
      </c>
    </row>
    <row r="6" spans="1:9" ht="12" customHeight="1" thickBot="1">
      <c r="A6" s="20"/>
      <c r="B6" s="20" t="s">
        <v>223</v>
      </c>
      <c r="C6" s="20" t="s">
        <v>300</v>
      </c>
      <c r="D6" s="20" t="s">
        <v>223</v>
      </c>
      <c r="E6" s="20" t="s">
        <v>301</v>
      </c>
      <c r="F6" s="20" t="s">
        <v>223</v>
      </c>
      <c r="G6" s="20" t="s">
        <v>223</v>
      </c>
      <c r="H6" s="20" t="s">
        <v>223</v>
      </c>
      <c r="I6" s="20" t="s">
        <v>223</v>
      </c>
    </row>
    <row r="7" spans="1:9" ht="12" customHeight="1">
      <c r="A7" s="150">
        <v>2008</v>
      </c>
      <c r="B7" s="153">
        <v>1267866.580079</v>
      </c>
      <c r="C7" s="153">
        <v>179870495.37399676</v>
      </c>
      <c r="D7" s="153">
        <v>1602597.0080210001</v>
      </c>
      <c r="E7" s="153">
        <v>3685931.4598570857</v>
      </c>
      <c r="F7" s="153">
        <v>345109.27027199999</v>
      </c>
      <c r="G7" s="153">
        <v>5243278.2475079317</v>
      </c>
      <c r="H7" s="153">
        <v>39037.065934999999</v>
      </c>
      <c r="I7" s="153">
        <v>16000</v>
      </c>
    </row>
    <row r="8" spans="1:9" ht="12" customHeight="1">
      <c r="A8" s="150">
        <v>2009</v>
      </c>
      <c r="B8" s="153">
        <v>1276249.2028350001</v>
      </c>
      <c r="C8" s="153">
        <v>183994714.39928088</v>
      </c>
      <c r="D8" s="153">
        <v>1512931.0674319996</v>
      </c>
      <c r="E8" s="153">
        <v>3922708.8843694869</v>
      </c>
      <c r="F8" s="153">
        <v>302459.11290999997</v>
      </c>
      <c r="G8" s="153">
        <v>4418768.325600001</v>
      </c>
      <c r="H8" s="153">
        <v>37502.627191</v>
      </c>
      <c r="I8" s="153">
        <v>12000</v>
      </c>
    </row>
    <row r="9" spans="1:9" ht="12" customHeight="1">
      <c r="A9" s="150">
        <v>2010</v>
      </c>
      <c r="B9" s="153">
        <v>1247184.0293920003</v>
      </c>
      <c r="C9" s="153">
        <v>164084409.31560928</v>
      </c>
      <c r="D9" s="153">
        <v>1470449.7064990001</v>
      </c>
      <c r="E9" s="153">
        <v>3640465.9170745406</v>
      </c>
      <c r="F9" s="153">
        <v>261989.60579399994</v>
      </c>
      <c r="G9" s="153">
        <v>6042644.2223000005</v>
      </c>
      <c r="H9" s="153">
        <v>33847.813441999999</v>
      </c>
      <c r="I9" s="153">
        <v>17000</v>
      </c>
    </row>
    <row r="10" spans="1:9" ht="12" customHeight="1">
      <c r="A10" s="150">
        <v>2011</v>
      </c>
      <c r="B10" s="153">
        <v>1235345.0680179999</v>
      </c>
      <c r="C10" s="153">
        <v>166186737.65759215</v>
      </c>
      <c r="D10" s="153">
        <v>1256382.6002110001</v>
      </c>
      <c r="E10" s="153">
        <v>3418862.5427760012</v>
      </c>
      <c r="F10" s="153">
        <v>230199.08238500002</v>
      </c>
      <c r="G10" s="153">
        <v>7010937.8915999997</v>
      </c>
      <c r="H10" s="153">
        <v>28881.790966</v>
      </c>
      <c r="I10" s="153">
        <v>19000</v>
      </c>
    </row>
    <row r="11" spans="1:9" ht="12" customHeight="1">
      <c r="A11" s="150">
        <v>2012</v>
      </c>
      <c r="B11" s="153">
        <v>1298761.3646879999</v>
      </c>
      <c r="C11" s="153">
        <v>161544686.25159043</v>
      </c>
      <c r="D11" s="153">
        <v>1281282.4314850001</v>
      </c>
      <c r="E11" s="153">
        <v>3480857.3450930165</v>
      </c>
      <c r="F11" s="153">
        <v>249236.15747600002</v>
      </c>
      <c r="G11" s="153">
        <v>6684539.3917999994</v>
      </c>
      <c r="H11" s="153">
        <v>26104.854507000004</v>
      </c>
      <c r="I11" s="153">
        <v>17000</v>
      </c>
    </row>
    <row r="12" spans="1:9" ht="12" customHeight="1">
      <c r="A12" s="150">
        <v>2013</v>
      </c>
      <c r="B12" s="153">
        <v>1375640.694202</v>
      </c>
      <c r="C12" s="153">
        <v>156257425.44059473</v>
      </c>
      <c r="D12" s="153">
        <v>1351273.4971160002</v>
      </c>
      <c r="E12" s="153">
        <v>3674282.9679788533</v>
      </c>
      <c r="F12" s="153">
        <v>266472.33039199992</v>
      </c>
      <c r="G12" s="153">
        <v>6680658.79</v>
      </c>
      <c r="H12" s="153">
        <v>23667.787452</v>
      </c>
      <c r="I12" s="153">
        <v>18000</v>
      </c>
    </row>
    <row r="13" spans="1:9" ht="12" customHeight="1">
      <c r="A13" s="150">
        <v>2014</v>
      </c>
      <c r="B13" s="153">
        <v>1377642.4148150005</v>
      </c>
      <c r="C13" s="153">
        <v>140097028.09351492</v>
      </c>
      <c r="D13" s="153">
        <v>1315475.3454159996</v>
      </c>
      <c r="E13" s="153">
        <v>3768147.1783280014</v>
      </c>
      <c r="F13" s="153">
        <v>277294.48258999997</v>
      </c>
      <c r="G13" s="153">
        <v>7192591.9308000002</v>
      </c>
      <c r="H13" s="153">
        <v>23105.261868000001</v>
      </c>
      <c r="I13" s="153">
        <v>17017.692465</v>
      </c>
    </row>
    <row r="14" spans="1:9" ht="12" customHeight="1">
      <c r="A14" s="150">
        <v>2015</v>
      </c>
      <c r="B14" s="153">
        <v>1700814.0358259997</v>
      </c>
      <c r="C14" s="153">
        <v>146822906.53713998</v>
      </c>
      <c r="D14" s="153">
        <v>1421513.070201</v>
      </c>
      <c r="E14" s="153">
        <v>4101567.7170699998</v>
      </c>
      <c r="F14" s="153">
        <v>315784.01908399991</v>
      </c>
      <c r="G14" s="153">
        <v>7320806.8476999998</v>
      </c>
      <c r="H14" s="153">
        <v>19510.729779000001</v>
      </c>
      <c r="I14" s="153">
        <v>20153.237616000002</v>
      </c>
    </row>
    <row r="15" spans="1:9" ht="12" customHeight="1">
      <c r="A15" s="150">
        <v>2016</v>
      </c>
      <c r="B15" s="153">
        <v>2353858.5579219996</v>
      </c>
      <c r="C15" s="153">
        <v>153005602.97612339</v>
      </c>
      <c r="D15" s="153">
        <v>1336835.1692190007</v>
      </c>
      <c r="E15" s="153">
        <v>4374355.6040669987</v>
      </c>
      <c r="F15" s="153">
        <v>314174.41007200006</v>
      </c>
      <c r="G15" s="153">
        <v>7663123.9877000004</v>
      </c>
      <c r="H15" s="153">
        <v>18789.004762</v>
      </c>
      <c r="I15" s="153">
        <v>25756.505005000006</v>
      </c>
    </row>
    <row r="16" spans="1:9" ht="12" customHeight="1">
      <c r="A16" s="552">
        <v>2017</v>
      </c>
      <c r="B16" s="553">
        <f>B36</f>
        <v>965197.46465799992</v>
      </c>
      <c r="C16" s="553">
        <f t="shared" ref="C16:I16" si="0">C36</f>
        <v>59856168.036145709</v>
      </c>
      <c r="D16" s="553">
        <f t="shared" si="0"/>
        <v>581994.97489300009</v>
      </c>
      <c r="E16" s="553">
        <f t="shared" si="0"/>
        <v>1749183.3917211883</v>
      </c>
      <c r="F16" s="553">
        <f t="shared" si="0"/>
        <v>123959.25271100001</v>
      </c>
      <c r="G16" s="553">
        <f t="shared" si="0"/>
        <v>3776993.2799999998</v>
      </c>
      <c r="H16" s="553">
        <f t="shared" si="0"/>
        <v>7109.9116459999996</v>
      </c>
      <c r="I16" s="553">
        <f t="shared" si="0"/>
        <v>9722.592224</v>
      </c>
    </row>
    <row r="17" spans="1:9" ht="12" customHeight="1">
      <c r="A17" s="323" t="s">
        <v>417</v>
      </c>
      <c r="B17" s="549">
        <v>196316.651889</v>
      </c>
      <c r="C17" s="549">
        <v>12101140.661925359</v>
      </c>
      <c r="D17" s="549">
        <v>113954.61106500002</v>
      </c>
      <c r="E17" s="549">
        <v>331285.94910000009</v>
      </c>
      <c r="F17" s="549">
        <v>24885.816983000004</v>
      </c>
      <c r="G17" s="549">
        <v>741372.93660000002</v>
      </c>
      <c r="H17" s="549">
        <v>1404.1405</v>
      </c>
      <c r="I17" s="549">
        <v>1915.415931</v>
      </c>
    </row>
    <row r="18" spans="1:9" ht="12" customHeight="1">
      <c r="A18" s="550" t="s">
        <v>418</v>
      </c>
      <c r="B18" s="551">
        <v>178282.56701500004</v>
      </c>
      <c r="C18" s="551">
        <v>11676057.278395433</v>
      </c>
      <c r="D18" s="551">
        <v>108751.95034999998</v>
      </c>
      <c r="E18" s="551">
        <v>325924.93072400003</v>
      </c>
      <c r="F18" s="551">
        <v>21539.061728000004</v>
      </c>
      <c r="G18" s="551">
        <v>667313.26199999999</v>
      </c>
      <c r="H18" s="551">
        <v>1253.1715999999999</v>
      </c>
      <c r="I18" s="551">
        <v>1990.7484420000001</v>
      </c>
    </row>
    <row r="19" spans="1:9" ht="12" customHeight="1">
      <c r="A19" s="550" t="s">
        <v>419</v>
      </c>
      <c r="B19" s="551">
        <v>189390.07332799994</v>
      </c>
      <c r="C19" s="551">
        <v>11700450.640771592</v>
      </c>
      <c r="D19" s="551">
        <v>109873.141093</v>
      </c>
      <c r="E19" s="551">
        <v>359285.7904900001</v>
      </c>
      <c r="F19" s="551">
        <v>25908.486014999999</v>
      </c>
      <c r="G19" s="551">
        <v>833368.85219999996</v>
      </c>
      <c r="H19" s="551">
        <v>1359.9458</v>
      </c>
      <c r="I19" s="551">
        <v>1790.679394</v>
      </c>
    </row>
    <row r="20" spans="1:9" ht="12" customHeight="1">
      <c r="A20" s="550" t="s">
        <v>420</v>
      </c>
      <c r="B20" s="551">
        <v>190903.39100000006</v>
      </c>
      <c r="C20" s="551">
        <v>11826768.302391911</v>
      </c>
      <c r="D20" s="551">
        <v>122987.904041</v>
      </c>
      <c r="E20" s="551">
        <v>361434.46809599991</v>
      </c>
      <c r="F20" s="551">
        <v>26452.052766999997</v>
      </c>
      <c r="G20" s="551">
        <v>718226.83940000006</v>
      </c>
      <c r="H20" s="551">
        <v>1532.0994000000001</v>
      </c>
      <c r="I20" s="551">
        <v>1729.808792</v>
      </c>
    </row>
    <row r="21" spans="1:9" ht="12" customHeight="1">
      <c r="A21" s="550" t="s">
        <v>695</v>
      </c>
      <c r="B21" s="551">
        <v>210304.781429</v>
      </c>
      <c r="C21" s="551">
        <v>12551649.280974459</v>
      </c>
      <c r="D21" s="551">
        <v>126427.36834200002</v>
      </c>
      <c r="E21" s="551">
        <v>371251.93297171703</v>
      </c>
      <c r="F21" s="551">
        <v>25173.835223999995</v>
      </c>
      <c r="G21" s="551">
        <v>816711.3898</v>
      </c>
      <c r="H21" s="551">
        <v>1560.5543459999999</v>
      </c>
      <c r="I21" s="551">
        <v>2295.9396660000002</v>
      </c>
    </row>
    <row r="22" spans="1:9" ht="12" customHeight="1">
      <c r="A22" s="548"/>
      <c r="B22" s="72"/>
      <c r="C22" s="72"/>
      <c r="D22" s="72"/>
      <c r="E22" s="72"/>
      <c r="F22" s="72"/>
      <c r="G22" s="72"/>
      <c r="H22" s="72"/>
      <c r="I22" s="72"/>
    </row>
    <row r="23" spans="1:9" ht="12" customHeight="1">
      <c r="A23" s="7"/>
      <c r="B23" s="153"/>
      <c r="C23" s="153"/>
      <c r="D23" s="153"/>
      <c r="E23" s="153"/>
      <c r="F23" s="153"/>
      <c r="G23" s="153"/>
      <c r="H23" s="153"/>
      <c r="I23" s="153"/>
    </row>
    <row r="24" spans="1:9" ht="12" customHeight="1">
      <c r="A24" s="152" t="str">
        <f xml:space="preserve"> "Variación Interanual / " &amp; '01 MACRO'!B1</f>
        <v>Variación Interanual / Mayo</v>
      </c>
      <c r="D24" s="153"/>
    </row>
    <row r="25" spans="1:9" s="55" customFormat="1" ht="12" customHeight="1">
      <c r="A25" s="154"/>
      <c r="B25" s="67"/>
      <c r="C25" s="67"/>
      <c r="D25" s="67"/>
      <c r="E25" s="67"/>
      <c r="F25" s="67"/>
      <c r="G25" s="67"/>
      <c r="H25" s="67"/>
      <c r="I25" s="67"/>
    </row>
    <row r="26" spans="1:9" ht="12" customHeight="1">
      <c r="A26" s="109" t="s">
        <v>0</v>
      </c>
      <c r="B26" s="109" t="s">
        <v>9</v>
      </c>
      <c r="C26" s="109" t="s">
        <v>16</v>
      </c>
      <c r="D26" s="109" t="s">
        <v>19</v>
      </c>
      <c r="E26" s="109" t="s">
        <v>22</v>
      </c>
      <c r="F26" s="109" t="s">
        <v>25</v>
      </c>
      <c r="G26" s="109" t="s">
        <v>222</v>
      </c>
      <c r="H26" s="109" t="s">
        <v>26</v>
      </c>
      <c r="I26" s="290" t="s">
        <v>29</v>
      </c>
    </row>
    <row r="27" spans="1:9" ht="12" customHeight="1">
      <c r="A27" s="323">
        <v>2017</v>
      </c>
      <c r="B27" s="324">
        <v>210304.781429</v>
      </c>
      <c r="C27" s="324">
        <v>12551649.280974459</v>
      </c>
      <c r="D27" s="324">
        <v>126427.36834200002</v>
      </c>
      <c r="E27" s="324">
        <v>371251.93297171703</v>
      </c>
      <c r="F27" s="324">
        <v>25173.835223999995</v>
      </c>
      <c r="G27" s="324">
        <v>816711.3898</v>
      </c>
      <c r="H27" s="324">
        <v>1560.5543459999999</v>
      </c>
      <c r="I27" s="324">
        <v>2295.9396660000002</v>
      </c>
    </row>
    <row r="28" spans="1:9" ht="12" customHeight="1">
      <c r="A28" s="323">
        <v>2016</v>
      </c>
      <c r="B28" s="324">
        <v>212479.20255699998</v>
      </c>
      <c r="C28" s="324">
        <v>13388626.646136977</v>
      </c>
      <c r="D28" s="324">
        <v>101600.20772500001</v>
      </c>
      <c r="E28" s="324">
        <v>384058.73482199974</v>
      </c>
      <c r="F28" s="324">
        <v>26167.154231000008</v>
      </c>
      <c r="G28" s="324">
        <v>704673.85100000002</v>
      </c>
      <c r="H28" s="324">
        <v>1578.1588000000002</v>
      </c>
      <c r="I28" s="324">
        <v>2149.2377190000002</v>
      </c>
    </row>
    <row r="29" spans="1:9" ht="12" customHeight="1">
      <c r="A29" s="325" t="s">
        <v>38</v>
      </c>
      <c r="B29" s="63">
        <f>B27/B28-1</f>
        <v>-1.0233571577042522E-2</v>
      </c>
      <c r="C29" s="63">
        <f t="shared" ref="C29:I29" si="1">C27/C28-1</f>
        <v>-6.2514056690348485E-2</v>
      </c>
      <c r="D29" s="63">
        <f t="shared" si="1"/>
        <v>0.24436131749060364</v>
      </c>
      <c r="E29" s="63">
        <f t="shared" si="1"/>
        <v>-3.334594604707608E-2</v>
      </c>
      <c r="F29" s="63">
        <f t="shared" si="1"/>
        <v>-3.7960528616567513E-2</v>
      </c>
      <c r="G29" s="63">
        <f t="shared" si="1"/>
        <v>0.15899204808154566</v>
      </c>
      <c r="H29" s="63">
        <f t="shared" si="1"/>
        <v>-1.1155058667100093E-2</v>
      </c>
      <c r="I29" s="63">
        <f t="shared" si="1"/>
        <v>6.8257664428231557E-2</v>
      </c>
    </row>
    <row r="30" spans="1:9" ht="12" customHeight="1">
      <c r="B30" s="153"/>
      <c r="C30" s="153"/>
      <c r="D30" s="153"/>
      <c r="E30" s="153"/>
      <c r="F30" s="153"/>
      <c r="G30" s="153"/>
      <c r="H30" s="153"/>
      <c r="I30" s="153"/>
    </row>
    <row r="33" spans="1:10" s="155" customFormat="1" ht="12" customHeight="1">
      <c r="A33" s="155" t="str">
        <f xml:space="preserve"> "Variación Acumulada / Enero - " &amp; '01 MACRO'!B1</f>
        <v>Variación Acumulada / Enero - Mayo</v>
      </c>
    </row>
    <row r="34" spans="1:10" ht="12" customHeight="1">
      <c r="A34" s="154"/>
    </row>
    <row r="35" spans="1:10" ht="12" customHeight="1">
      <c r="A35" s="238" t="s">
        <v>0</v>
      </c>
      <c r="B35" s="238" t="s">
        <v>9</v>
      </c>
      <c r="C35" s="238" t="s">
        <v>16</v>
      </c>
      <c r="D35" s="238" t="s">
        <v>19</v>
      </c>
      <c r="E35" s="238" t="s">
        <v>22</v>
      </c>
      <c r="F35" s="238" t="s">
        <v>25</v>
      </c>
      <c r="G35" s="238" t="s">
        <v>222</v>
      </c>
      <c r="H35" s="238" t="s">
        <v>26</v>
      </c>
      <c r="I35" s="290" t="s">
        <v>29</v>
      </c>
    </row>
    <row r="36" spans="1:10" ht="12" customHeight="1">
      <c r="A36" s="323">
        <v>2017</v>
      </c>
      <c r="B36" s="324">
        <v>965197.46465799992</v>
      </c>
      <c r="C36" s="324">
        <v>59856168.036145709</v>
      </c>
      <c r="D36" s="324">
        <v>581994.97489300009</v>
      </c>
      <c r="E36" s="324">
        <v>1749183.3917211883</v>
      </c>
      <c r="F36" s="324">
        <v>123959.25271100001</v>
      </c>
      <c r="G36" s="324">
        <v>3776993.2799999998</v>
      </c>
      <c r="H36" s="324">
        <v>7109.9116459999996</v>
      </c>
      <c r="I36" s="324">
        <v>9722.592224</v>
      </c>
    </row>
    <row r="37" spans="1:10" ht="12" customHeight="1">
      <c r="A37" s="323">
        <v>2016</v>
      </c>
      <c r="B37" s="324">
        <v>914940.42120799993</v>
      </c>
      <c r="C37" s="324">
        <v>64472742.607981168</v>
      </c>
      <c r="D37" s="324">
        <v>517712.04747400002</v>
      </c>
      <c r="E37" s="324">
        <v>1803277.0948219988</v>
      </c>
      <c r="F37" s="324">
        <v>129781.74429700001</v>
      </c>
      <c r="G37" s="324">
        <v>3461788.6798</v>
      </c>
      <c r="H37" s="324">
        <v>7292.6228219999994</v>
      </c>
      <c r="I37" s="324">
        <v>10340.284198000001</v>
      </c>
    </row>
    <row r="38" spans="1:10" ht="12" customHeight="1">
      <c r="A38" s="325" t="s">
        <v>38</v>
      </c>
      <c r="B38" s="63">
        <f>B36/B37-1</f>
        <v>5.4929307182259413E-2</v>
      </c>
      <c r="C38" s="63">
        <f t="shared" ref="C38:I38" si="2">C36/C37-1</f>
        <v>-7.1605059519586289E-2</v>
      </c>
      <c r="D38" s="63">
        <f t="shared" si="2"/>
        <v>0.12416733922389245</v>
      </c>
      <c r="E38" s="63">
        <f t="shared" si="2"/>
        <v>-2.9997443685242486E-2</v>
      </c>
      <c r="F38" s="63">
        <f t="shared" si="2"/>
        <v>-4.4863718064040548E-2</v>
      </c>
      <c r="G38" s="63">
        <f t="shared" si="2"/>
        <v>9.105252496758709E-2</v>
      </c>
      <c r="H38" s="63">
        <f t="shared" si="2"/>
        <v>-2.5054247348266334E-2</v>
      </c>
      <c r="I38" s="63">
        <f t="shared" si="2"/>
        <v>-5.9736460059721996E-2</v>
      </c>
    </row>
    <row r="40" spans="1:10" ht="12" customHeight="1">
      <c r="C40" s="21"/>
      <c r="D40" s="21"/>
      <c r="E40" s="21"/>
      <c r="F40" s="21"/>
    </row>
    <row r="41" spans="1:10" ht="12" customHeight="1">
      <c r="A41" s="155" t="s">
        <v>296</v>
      </c>
      <c r="B41" s="155"/>
      <c r="C41" s="155"/>
      <c r="D41" s="155"/>
      <c r="E41" s="155"/>
      <c r="F41" s="155"/>
      <c r="G41" s="155"/>
      <c r="H41" s="155"/>
      <c r="I41" s="155"/>
    </row>
    <row r="42" spans="1:10" s="155" customFormat="1" ht="12" customHeight="1">
      <c r="A42" s="154"/>
      <c r="B42" s="150"/>
      <c r="C42" s="150"/>
      <c r="D42" s="150"/>
      <c r="E42" s="150"/>
      <c r="F42" s="150"/>
      <c r="G42" s="150"/>
      <c r="H42" s="150"/>
      <c r="I42" s="150"/>
      <c r="J42" s="219"/>
    </row>
    <row r="43" spans="1:10" ht="12" customHeight="1">
      <c r="A43" s="218" t="s">
        <v>297</v>
      </c>
      <c r="B43" s="218" t="s">
        <v>9</v>
      </c>
      <c r="C43" s="218" t="s">
        <v>16</v>
      </c>
      <c r="D43" s="218" t="s">
        <v>19</v>
      </c>
      <c r="E43" s="218" t="s">
        <v>22</v>
      </c>
      <c r="F43" s="218" t="s">
        <v>25</v>
      </c>
      <c r="G43" s="218" t="s">
        <v>222</v>
      </c>
      <c r="H43" s="218" t="s">
        <v>26</v>
      </c>
      <c r="I43" s="290" t="s">
        <v>29</v>
      </c>
      <c r="J43" s="156"/>
    </row>
    <row r="44" spans="1:10" ht="12" customHeight="1">
      <c r="A44" s="220">
        <v>42856</v>
      </c>
      <c r="B44" s="153">
        <f>B27</f>
        <v>210304.781429</v>
      </c>
      <c r="C44" s="153">
        <f t="shared" ref="C44:I44" si="3">C27</f>
        <v>12551649.280974459</v>
      </c>
      <c r="D44" s="153">
        <f t="shared" si="3"/>
        <v>126427.36834200002</v>
      </c>
      <c r="E44" s="153">
        <f t="shared" si="3"/>
        <v>371251.93297171703</v>
      </c>
      <c r="F44" s="153">
        <f t="shared" si="3"/>
        <v>25173.835223999995</v>
      </c>
      <c r="G44" s="153">
        <f t="shared" si="3"/>
        <v>816711.3898</v>
      </c>
      <c r="H44" s="153">
        <f t="shared" si="3"/>
        <v>1560.5543459999999</v>
      </c>
      <c r="I44" s="153">
        <f t="shared" si="3"/>
        <v>2295.9396660000002</v>
      </c>
      <c r="J44" s="156"/>
    </row>
    <row r="45" spans="1:10" ht="12" customHeight="1">
      <c r="A45" s="220">
        <v>42826</v>
      </c>
      <c r="B45" s="153">
        <v>190903.39100000006</v>
      </c>
      <c r="C45" s="153">
        <v>11826768.302391911</v>
      </c>
      <c r="D45" s="153">
        <v>122987.904041</v>
      </c>
      <c r="E45" s="153">
        <v>361434.46809599991</v>
      </c>
      <c r="F45" s="153">
        <v>26452.052766999997</v>
      </c>
      <c r="G45" s="153">
        <v>718226.83940000006</v>
      </c>
      <c r="H45" s="153">
        <v>1532.0994000000001</v>
      </c>
      <c r="I45" s="153">
        <v>1729.808792</v>
      </c>
      <c r="J45" s="156"/>
    </row>
    <row r="46" spans="1:10" ht="12" customHeight="1">
      <c r="A46" s="16" t="s">
        <v>38</v>
      </c>
      <c r="B46" s="63">
        <f>B44/B45-1</f>
        <v>0.10162936513264942</v>
      </c>
      <c r="C46" s="63">
        <f t="shared" ref="C46:H46" si="4">C44/C45-1</f>
        <v>6.129155150828014E-2</v>
      </c>
      <c r="D46" s="63">
        <f t="shared" si="4"/>
        <v>2.7965874594085394E-2</v>
      </c>
      <c r="E46" s="63">
        <f t="shared" si="4"/>
        <v>2.7162503143196348E-2</v>
      </c>
      <c r="F46" s="63">
        <f t="shared" si="4"/>
        <v>-4.8322054785654656E-2</v>
      </c>
      <c r="G46" s="63">
        <f t="shared" si="4"/>
        <v>0.1371217907733342</v>
      </c>
      <c r="H46" s="63">
        <f t="shared" si="4"/>
        <v>1.8572519511462326E-2</v>
      </c>
      <c r="I46" s="63">
        <f t="shared" ref="I46" si="5">I44/I45-1</f>
        <v>0.32727945228295519</v>
      </c>
      <c r="J46" s="156"/>
    </row>
    <row r="47" spans="1:10" ht="12" customHeight="1">
      <c r="J47" s="156"/>
    </row>
    <row r="48" spans="1:10" ht="12" customHeight="1">
      <c r="J48" s="156"/>
    </row>
    <row r="50" spans="1:9" ht="12" customHeight="1">
      <c r="A50" s="5" t="s">
        <v>7</v>
      </c>
      <c r="B50" s="9"/>
      <c r="C50" s="9"/>
      <c r="D50" s="9"/>
      <c r="E50" s="9"/>
      <c r="F50" s="9"/>
      <c r="G50" s="9"/>
      <c r="H50" s="9"/>
      <c r="I50" s="9"/>
    </row>
  </sheetData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5:N97"/>
  <sheetViews>
    <sheetView workbookViewId="0"/>
  </sheetViews>
  <sheetFormatPr baseColWidth="10" defaultRowHeight="15"/>
  <cols>
    <col min="1" max="1" width="11.42578125" style="291"/>
    <col min="2" max="2" width="48.28515625" style="291" customWidth="1"/>
    <col min="3" max="3" width="13.85546875" style="542" bestFit="1" customWidth="1"/>
    <col min="4" max="4" width="12.7109375" style="542" bestFit="1" customWidth="1"/>
    <col min="5" max="6" width="11.42578125" style="291"/>
    <col min="7" max="9" width="3.5703125" style="291" customWidth="1"/>
    <col min="10" max="10" width="11.42578125" style="291"/>
    <col min="11" max="11" width="45.5703125" style="291" customWidth="1"/>
    <col min="12" max="13" width="12.7109375" style="542" bestFit="1" customWidth="1"/>
    <col min="14" max="14" width="26" style="291" customWidth="1"/>
    <col min="15" max="257" width="11.42578125" style="291"/>
    <col min="258" max="258" width="48.28515625" style="291" customWidth="1"/>
    <col min="259" max="259" width="13.85546875" style="291" bestFit="1" customWidth="1"/>
    <col min="260" max="260" width="12.7109375" style="291" bestFit="1" customWidth="1"/>
    <col min="261" max="266" width="11.42578125" style="291"/>
    <col min="267" max="267" width="45.5703125" style="291" customWidth="1"/>
    <col min="268" max="269" width="12.7109375" style="291" bestFit="1" customWidth="1"/>
    <col min="270" max="270" width="26" style="291" customWidth="1"/>
    <col min="271" max="513" width="11.42578125" style="291"/>
    <col min="514" max="514" width="48.28515625" style="291" customWidth="1"/>
    <col min="515" max="515" width="13.85546875" style="291" bestFit="1" customWidth="1"/>
    <col min="516" max="516" width="12.7109375" style="291" bestFit="1" customWidth="1"/>
    <col min="517" max="522" width="11.42578125" style="291"/>
    <col min="523" max="523" width="45.5703125" style="291" customWidth="1"/>
    <col min="524" max="525" width="12.7109375" style="291" bestFit="1" customWidth="1"/>
    <col min="526" max="526" width="26" style="291" customWidth="1"/>
    <col min="527" max="769" width="11.42578125" style="291"/>
    <col min="770" max="770" width="48.28515625" style="291" customWidth="1"/>
    <col min="771" max="771" width="13.85546875" style="291" bestFit="1" customWidth="1"/>
    <col min="772" max="772" width="12.7109375" style="291" bestFit="1" customWidth="1"/>
    <col min="773" max="778" width="11.42578125" style="291"/>
    <col min="779" max="779" width="45.5703125" style="291" customWidth="1"/>
    <col min="780" max="781" width="12.7109375" style="291" bestFit="1" customWidth="1"/>
    <col min="782" max="782" width="26" style="291" customWidth="1"/>
    <col min="783" max="1025" width="11.42578125" style="291"/>
    <col min="1026" max="1026" width="48.28515625" style="291" customWidth="1"/>
    <col min="1027" max="1027" width="13.85546875" style="291" bestFit="1" customWidth="1"/>
    <col min="1028" max="1028" width="12.7109375" style="291" bestFit="1" customWidth="1"/>
    <col min="1029" max="1034" width="11.42578125" style="291"/>
    <col min="1035" max="1035" width="45.5703125" style="291" customWidth="1"/>
    <col min="1036" max="1037" width="12.7109375" style="291" bestFit="1" customWidth="1"/>
    <col min="1038" max="1038" width="26" style="291" customWidth="1"/>
    <col min="1039" max="1281" width="11.42578125" style="291"/>
    <col min="1282" max="1282" width="48.28515625" style="291" customWidth="1"/>
    <col min="1283" max="1283" width="13.85546875" style="291" bestFit="1" customWidth="1"/>
    <col min="1284" max="1284" width="12.7109375" style="291" bestFit="1" customWidth="1"/>
    <col min="1285" max="1290" width="11.42578125" style="291"/>
    <col min="1291" max="1291" width="45.5703125" style="291" customWidth="1"/>
    <col min="1292" max="1293" width="12.7109375" style="291" bestFit="1" customWidth="1"/>
    <col min="1294" max="1294" width="26" style="291" customWidth="1"/>
    <col min="1295" max="1537" width="11.42578125" style="291"/>
    <col min="1538" max="1538" width="48.28515625" style="291" customWidth="1"/>
    <col min="1539" max="1539" width="13.85546875" style="291" bestFit="1" customWidth="1"/>
    <col min="1540" max="1540" width="12.7109375" style="291" bestFit="1" customWidth="1"/>
    <col min="1541" max="1546" width="11.42578125" style="291"/>
    <col min="1547" max="1547" width="45.5703125" style="291" customWidth="1"/>
    <col min="1548" max="1549" width="12.7109375" style="291" bestFit="1" customWidth="1"/>
    <col min="1550" max="1550" width="26" style="291" customWidth="1"/>
    <col min="1551" max="1793" width="11.42578125" style="291"/>
    <col min="1794" max="1794" width="48.28515625" style="291" customWidth="1"/>
    <col min="1795" max="1795" width="13.85546875" style="291" bestFit="1" customWidth="1"/>
    <col min="1796" max="1796" width="12.7109375" style="291" bestFit="1" customWidth="1"/>
    <col min="1797" max="1802" width="11.42578125" style="291"/>
    <col min="1803" max="1803" width="45.5703125" style="291" customWidth="1"/>
    <col min="1804" max="1805" width="12.7109375" style="291" bestFit="1" customWidth="1"/>
    <col min="1806" max="1806" width="26" style="291" customWidth="1"/>
    <col min="1807" max="2049" width="11.42578125" style="291"/>
    <col min="2050" max="2050" width="48.28515625" style="291" customWidth="1"/>
    <col min="2051" max="2051" width="13.85546875" style="291" bestFit="1" customWidth="1"/>
    <col min="2052" max="2052" width="12.7109375" style="291" bestFit="1" customWidth="1"/>
    <col min="2053" max="2058" width="11.42578125" style="291"/>
    <col min="2059" max="2059" width="45.5703125" style="291" customWidth="1"/>
    <col min="2060" max="2061" width="12.7109375" style="291" bestFit="1" customWidth="1"/>
    <col min="2062" max="2062" width="26" style="291" customWidth="1"/>
    <col min="2063" max="2305" width="11.42578125" style="291"/>
    <col min="2306" max="2306" width="48.28515625" style="291" customWidth="1"/>
    <col min="2307" max="2307" width="13.85546875" style="291" bestFit="1" customWidth="1"/>
    <col min="2308" max="2308" width="12.7109375" style="291" bestFit="1" customWidth="1"/>
    <col min="2309" max="2314" width="11.42578125" style="291"/>
    <col min="2315" max="2315" width="45.5703125" style="291" customWidth="1"/>
    <col min="2316" max="2317" width="12.7109375" style="291" bestFit="1" customWidth="1"/>
    <col min="2318" max="2318" width="26" style="291" customWidth="1"/>
    <col min="2319" max="2561" width="11.42578125" style="291"/>
    <col min="2562" max="2562" width="48.28515625" style="291" customWidth="1"/>
    <col min="2563" max="2563" width="13.85546875" style="291" bestFit="1" customWidth="1"/>
    <col min="2564" max="2564" width="12.7109375" style="291" bestFit="1" customWidth="1"/>
    <col min="2565" max="2570" width="11.42578125" style="291"/>
    <col min="2571" max="2571" width="45.5703125" style="291" customWidth="1"/>
    <col min="2572" max="2573" width="12.7109375" style="291" bestFit="1" customWidth="1"/>
    <col min="2574" max="2574" width="26" style="291" customWidth="1"/>
    <col min="2575" max="2817" width="11.42578125" style="291"/>
    <col min="2818" max="2818" width="48.28515625" style="291" customWidth="1"/>
    <col min="2819" max="2819" width="13.85546875" style="291" bestFit="1" customWidth="1"/>
    <col min="2820" max="2820" width="12.7109375" style="291" bestFit="1" customWidth="1"/>
    <col min="2821" max="2826" width="11.42578125" style="291"/>
    <col min="2827" max="2827" width="45.5703125" style="291" customWidth="1"/>
    <col min="2828" max="2829" width="12.7109375" style="291" bestFit="1" customWidth="1"/>
    <col min="2830" max="2830" width="26" style="291" customWidth="1"/>
    <col min="2831" max="3073" width="11.42578125" style="291"/>
    <col min="3074" max="3074" width="48.28515625" style="291" customWidth="1"/>
    <col min="3075" max="3075" width="13.85546875" style="291" bestFit="1" customWidth="1"/>
    <col min="3076" max="3076" width="12.7109375" style="291" bestFit="1" customWidth="1"/>
    <col min="3077" max="3082" width="11.42578125" style="291"/>
    <col min="3083" max="3083" width="45.5703125" style="291" customWidth="1"/>
    <col min="3084" max="3085" width="12.7109375" style="291" bestFit="1" customWidth="1"/>
    <col min="3086" max="3086" width="26" style="291" customWidth="1"/>
    <col min="3087" max="3329" width="11.42578125" style="291"/>
    <col min="3330" max="3330" width="48.28515625" style="291" customWidth="1"/>
    <col min="3331" max="3331" width="13.85546875" style="291" bestFit="1" customWidth="1"/>
    <col min="3332" max="3332" width="12.7109375" style="291" bestFit="1" customWidth="1"/>
    <col min="3333" max="3338" width="11.42578125" style="291"/>
    <col min="3339" max="3339" width="45.5703125" style="291" customWidth="1"/>
    <col min="3340" max="3341" width="12.7109375" style="291" bestFit="1" customWidth="1"/>
    <col min="3342" max="3342" width="26" style="291" customWidth="1"/>
    <col min="3343" max="3585" width="11.42578125" style="291"/>
    <col min="3586" max="3586" width="48.28515625" style="291" customWidth="1"/>
    <col min="3587" max="3587" width="13.85546875" style="291" bestFit="1" customWidth="1"/>
    <col min="3588" max="3588" width="12.7109375" style="291" bestFit="1" customWidth="1"/>
    <col min="3589" max="3594" width="11.42578125" style="291"/>
    <col min="3595" max="3595" width="45.5703125" style="291" customWidth="1"/>
    <col min="3596" max="3597" width="12.7109375" style="291" bestFit="1" customWidth="1"/>
    <col min="3598" max="3598" width="26" style="291" customWidth="1"/>
    <col min="3599" max="3841" width="11.42578125" style="291"/>
    <col min="3842" max="3842" width="48.28515625" style="291" customWidth="1"/>
    <col min="3843" max="3843" width="13.85546875" style="291" bestFit="1" customWidth="1"/>
    <col min="3844" max="3844" width="12.7109375" style="291" bestFit="1" customWidth="1"/>
    <col min="3845" max="3850" width="11.42578125" style="291"/>
    <col min="3851" max="3851" width="45.5703125" style="291" customWidth="1"/>
    <col min="3852" max="3853" width="12.7109375" style="291" bestFit="1" customWidth="1"/>
    <col min="3854" max="3854" width="26" style="291" customWidth="1"/>
    <col min="3855" max="4097" width="11.42578125" style="291"/>
    <col min="4098" max="4098" width="48.28515625" style="291" customWidth="1"/>
    <col min="4099" max="4099" width="13.85546875" style="291" bestFit="1" customWidth="1"/>
    <col min="4100" max="4100" width="12.7109375" style="291" bestFit="1" customWidth="1"/>
    <col min="4101" max="4106" width="11.42578125" style="291"/>
    <col min="4107" max="4107" width="45.5703125" style="291" customWidth="1"/>
    <col min="4108" max="4109" width="12.7109375" style="291" bestFit="1" customWidth="1"/>
    <col min="4110" max="4110" width="26" style="291" customWidth="1"/>
    <col min="4111" max="4353" width="11.42578125" style="291"/>
    <col min="4354" max="4354" width="48.28515625" style="291" customWidth="1"/>
    <col min="4355" max="4355" width="13.85546875" style="291" bestFit="1" customWidth="1"/>
    <col min="4356" max="4356" width="12.7109375" style="291" bestFit="1" customWidth="1"/>
    <col min="4357" max="4362" width="11.42578125" style="291"/>
    <col min="4363" max="4363" width="45.5703125" style="291" customWidth="1"/>
    <col min="4364" max="4365" width="12.7109375" style="291" bestFit="1" customWidth="1"/>
    <col min="4366" max="4366" width="26" style="291" customWidth="1"/>
    <col min="4367" max="4609" width="11.42578125" style="291"/>
    <col min="4610" max="4610" width="48.28515625" style="291" customWidth="1"/>
    <col min="4611" max="4611" width="13.85546875" style="291" bestFit="1" customWidth="1"/>
    <col min="4612" max="4612" width="12.7109375" style="291" bestFit="1" customWidth="1"/>
    <col min="4613" max="4618" width="11.42578125" style="291"/>
    <col min="4619" max="4619" width="45.5703125" style="291" customWidth="1"/>
    <col min="4620" max="4621" width="12.7109375" style="291" bestFit="1" customWidth="1"/>
    <col min="4622" max="4622" width="26" style="291" customWidth="1"/>
    <col min="4623" max="4865" width="11.42578125" style="291"/>
    <col min="4866" max="4866" width="48.28515625" style="291" customWidth="1"/>
    <col min="4867" max="4867" width="13.85546875" style="291" bestFit="1" customWidth="1"/>
    <col min="4868" max="4868" width="12.7109375" style="291" bestFit="1" customWidth="1"/>
    <col min="4869" max="4874" width="11.42578125" style="291"/>
    <col min="4875" max="4875" width="45.5703125" style="291" customWidth="1"/>
    <col min="4876" max="4877" width="12.7109375" style="291" bestFit="1" customWidth="1"/>
    <col min="4878" max="4878" width="26" style="291" customWidth="1"/>
    <col min="4879" max="5121" width="11.42578125" style="291"/>
    <col min="5122" max="5122" width="48.28515625" style="291" customWidth="1"/>
    <col min="5123" max="5123" width="13.85546875" style="291" bestFit="1" customWidth="1"/>
    <col min="5124" max="5124" width="12.7109375" style="291" bestFit="1" customWidth="1"/>
    <col min="5125" max="5130" width="11.42578125" style="291"/>
    <col min="5131" max="5131" width="45.5703125" style="291" customWidth="1"/>
    <col min="5132" max="5133" width="12.7109375" style="291" bestFit="1" customWidth="1"/>
    <col min="5134" max="5134" width="26" style="291" customWidth="1"/>
    <col min="5135" max="5377" width="11.42578125" style="291"/>
    <col min="5378" max="5378" width="48.28515625" style="291" customWidth="1"/>
    <col min="5379" max="5379" width="13.85546875" style="291" bestFit="1" customWidth="1"/>
    <col min="5380" max="5380" width="12.7109375" style="291" bestFit="1" customWidth="1"/>
    <col min="5381" max="5386" width="11.42578125" style="291"/>
    <col min="5387" max="5387" width="45.5703125" style="291" customWidth="1"/>
    <col min="5388" max="5389" width="12.7109375" style="291" bestFit="1" customWidth="1"/>
    <col min="5390" max="5390" width="26" style="291" customWidth="1"/>
    <col min="5391" max="5633" width="11.42578125" style="291"/>
    <col min="5634" max="5634" width="48.28515625" style="291" customWidth="1"/>
    <col min="5635" max="5635" width="13.85546875" style="291" bestFit="1" customWidth="1"/>
    <col min="5636" max="5636" width="12.7109375" style="291" bestFit="1" customWidth="1"/>
    <col min="5637" max="5642" width="11.42578125" style="291"/>
    <col min="5643" max="5643" width="45.5703125" style="291" customWidth="1"/>
    <col min="5644" max="5645" width="12.7109375" style="291" bestFit="1" customWidth="1"/>
    <col min="5646" max="5646" width="26" style="291" customWidth="1"/>
    <col min="5647" max="5889" width="11.42578125" style="291"/>
    <col min="5890" max="5890" width="48.28515625" style="291" customWidth="1"/>
    <col min="5891" max="5891" width="13.85546875" style="291" bestFit="1" customWidth="1"/>
    <col min="5892" max="5892" width="12.7109375" style="291" bestFit="1" customWidth="1"/>
    <col min="5893" max="5898" width="11.42578125" style="291"/>
    <col min="5899" max="5899" width="45.5703125" style="291" customWidth="1"/>
    <col min="5900" max="5901" width="12.7109375" style="291" bestFit="1" customWidth="1"/>
    <col min="5902" max="5902" width="26" style="291" customWidth="1"/>
    <col min="5903" max="6145" width="11.42578125" style="291"/>
    <col min="6146" max="6146" width="48.28515625" style="291" customWidth="1"/>
    <col min="6147" max="6147" width="13.85546875" style="291" bestFit="1" customWidth="1"/>
    <col min="6148" max="6148" width="12.7109375" style="291" bestFit="1" customWidth="1"/>
    <col min="6149" max="6154" width="11.42578125" style="291"/>
    <col min="6155" max="6155" width="45.5703125" style="291" customWidth="1"/>
    <col min="6156" max="6157" width="12.7109375" style="291" bestFit="1" customWidth="1"/>
    <col min="6158" max="6158" width="26" style="291" customWidth="1"/>
    <col min="6159" max="6401" width="11.42578125" style="291"/>
    <col min="6402" max="6402" width="48.28515625" style="291" customWidth="1"/>
    <col min="6403" max="6403" width="13.85546875" style="291" bestFit="1" customWidth="1"/>
    <col min="6404" max="6404" width="12.7109375" style="291" bestFit="1" customWidth="1"/>
    <col min="6405" max="6410" width="11.42578125" style="291"/>
    <col min="6411" max="6411" width="45.5703125" style="291" customWidth="1"/>
    <col min="6412" max="6413" width="12.7109375" style="291" bestFit="1" customWidth="1"/>
    <col min="6414" max="6414" width="26" style="291" customWidth="1"/>
    <col min="6415" max="6657" width="11.42578125" style="291"/>
    <col min="6658" max="6658" width="48.28515625" style="291" customWidth="1"/>
    <col min="6659" max="6659" width="13.85546875" style="291" bestFit="1" customWidth="1"/>
    <col min="6660" max="6660" width="12.7109375" style="291" bestFit="1" customWidth="1"/>
    <col min="6661" max="6666" width="11.42578125" style="291"/>
    <col min="6667" max="6667" width="45.5703125" style="291" customWidth="1"/>
    <col min="6668" max="6669" width="12.7109375" style="291" bestFit="1" customWidth="1"/>
    <col min="6670" max="6670" width="26" style="291" customWidth="1"/>
    <col min="6671" max="6913" width="11.42578125" style="291"/>
    <col min="6914" max="6914" width="48.28515625" style="291" customWidth="1"/>
    <col min="6915" max="6915" width="13.85546875" style="291" bestFit="1" customWidth="1"/>
    <col min="6916" max="6916" width="12.7109375" style="291" bestFit="1" customWidth="1"/>
    <col min="6917" max="6922" width="11.42578125" style="291"/>
    <col min="6923" max="6923" width="45.5703125" style="291" customWidth="1"/>
    <col min="6924" max="6925" width="12.7109375" style="291" bestFit="1" customWidth="1"/>
    <col min="6926" max="6926" width="26" style="291" customWidth="1"/>
    <col min="6927" max="7169" width="11.42578125" style="291"/>
    <col min="7170" max="7170" width="48.28515625" style="291" customWidth="1"/>
    <col min="7171" max="7171" width="13.85546875" style="291" bestFit="1" customWidth="1"/>
    <col min="7172" max="7172" width="12.7109375" style="291" bestFit="1" customWidth="1"/>
    <col min="7173" max="7178" width="11.42578125" style="291"/>
    <col min="7179" max="7179" width="45.5703125" style="291" customWidth="1"/>
    <col min="7180" max="7181" width="12.7109375" style="291" bestFit="1" customWidth="1"/>
    <col min="7182" max="7182" width="26" style="291" customWidth="1"/>
    <col min="7183" max="7425" width="11.42578125" style="291"/>
    <col min="7426" max="7426" width="48.28515625" style="291" customWidth="1"/>
    <col min="7427" max="7427" width="13.85546875" style="291" bestFit="1" customWidth="1"/>
    <col min="7428" max="7428" width="12.7109375" style="291" bestFit="1" customWidth="1"/>
    <col min="7429" max="7434" width="11.42578125" style="291"/>
    <col min="7435" max="7435" width="45.5703125" style="291" customWidth="1"/>
    <col min="7436" max="7437" width="12.7109375" style="291" bestFit="1" customWidth="1"/>
    <col min="7438" max="7438" width="26" style="291" customWidth="1"/>
    <col min="7439" max="7681" width="11.42578125" style="291"/>
    <col min="7682" max="7682" width="48.28515625" style="291" customWidth="1"/>
    <col min="7683" max="7683" width="13.85546875" style="291" bestFit="1" customWidth="1"/>
    <col min="7684" max="7684" width="12.7109375" style="291" bestFit="1" customWidth="1"/>
    <col min="7685" max="7690" width="11.42578125" style="291"/>
    <col min="7691" max="7691" width="45.5703125" style="291" customWidth="1"/>
    <col min="7692" max="7693" width="12.7109375" style="291" bestFit="1" customWidth="1"/>
    <col min="7694" max="7694" width="26" style="291" customWidth="1"/>
    <col min="7695" max="7937" width="11.42578125" style="291"/>
    <col min="7938" max="7938" width="48.28515625" style="291" customWidth="1"/>
    <col min="7939" max="7939" width="13.85546875" style="291" bestFit="1" customWidth="1"/>
    <col min="7940" max="7940" width="12.7109375" style="291" bestFit="1" customWidth="1"/>
    <col min="7941" max="7946" width="11.42578125" style="291"/>
    <col min="7947" max="7947" width="45.5703125" style="291" customWidth="1"/>
    <col min="7948" max="7949" width="12.7109375" style="291" bestFit="1" customWidth="1"/>
    <col min="7950" max="7950" width="26" style="291" customWidth="1"/>
    <col min="7951" max="8193" width="11.42578125" style="291"/>
    <col min="8194" max="8194" width="48.28515625" style="291" customWidth="1"/>
    <col min="8195" max="8195" width="13.85546875" style="291" bestFit="1" customWidth="1"/>
    <col min="8196" max="8196" width="12.7109375" style="291" bestFit="1" customWidth="1"/>
    <col min="8197" max="8202" width="11.42578125" style="291"/>
    <col min="8203" max="8203" width="45.5703125" style="291" customWidth="1"/>
    <col min="8204" max="8205" width="12.7109375" style="291" bestFit="1" customWidth="1"/>
    <col min="8206" max="8206" width="26" style="291" customWidth="1"/>
    <col min="8207" max="8449" width="11.42578125" style="291"/>
    <col min="8450" max="8450" width="48.28515625" style="291" customWidth="1"/>
    <col min="8451" max="8451" width="13.85546875" style="291" bestFit="1" customWidth="1"/>
    <col min="8452" max="8452" width="12.7109375" style="291" bestFit="1" customWidth="1"/>
    <col min="8453" max="8458" width="11.42578125" style="291"/>
    <col min="8459" max="8459" width="45.5703125" style="291" customWidth="1"/>
    <col min="8460" max="8461" width="12.7109375" style="291" bestFit="1" customWidth="1"/>
    <col min="8462" max="8462" width="26" style="291" customWidth="1"/>
    <col min="8463" max="8705" width="11.42578125" style="291"/>
    <col min="8706" max="8706" width="48.28515625" style="291" customWidth="1"/>
    <col min="8707" max="8707" width="13.85546875" style="291" bestFit="1" customWidth="1"/>
    <col min="8708" max="8708" width="12.7109375" style="291" bestFit="1" customWidth="1"/>
    <col min="8709" max="8714" width="11.42578125" style="291"/>
    <col min="8715" max="8715" width="45.5703125" style="291" customWidth="1"/>
    <col min="8716" max="8717" width="12.7109375" style="291" bestFit="1" customWidth="1"/>
    <col min="8718" max="8718" width="26" style="291" customWidth="1"/>
    <col min="8719" max="8961" width="11.42578125" style="291"/>
    <col min="8962" max="8962" width="48.28515625" style="291" customWidth="1"/>
    <col min="8963" max="8963" width="13.85546875" style="291" bestFit="1" customWidth="1"/>
    <col min="8964" max="8964" width="12.7109375" style="291" bestFit="1" customWidth="1"/>
    <col min="8965" max="8970" width="11.42578125" style="291"/>
    <col min="8971" max="8971" width="45.5703125" style="291" customWidth="1"/>
    <col min="8972" max="8973" width="12.7109375" style="291" bestFit="1" customWidth="1"/>
    <col min="8974" max="8974" width="26" style="291" customWidth="1"/>
    <col min="8975" max="9217" width="11.42578125" style="291"/>
    <col min="9218" max="9218" width="48.28515625" style="291" customWidth="1"/>
    <col min="9219" max="9219" width="13.85546875" style="291" bestFit="1" customWidth="1"/>
    <col min="9220" max="9220" width="12.7109375" style="291" bestFit="1" customWidth="1"/>
    <col min="9221" max="9226" width="11.42578125" style="291"/>
    <col min="9227" max="9227" width="45.5703125" style="291" customWidth="1"/>
    <col min="9228" max="9229" width="12.7109375" style="291" bestFit="1" customWidth="1"/>
    <col min="9230" max="9230" width="26" style="291" customWidth="1"/>
    <col min="9231" max="9473" width="11.42578125" style="291"/>
    <col min="9474" max="9474" width="48.28515625" style="291" customWidth="1"/>
    <col min="9475" max="9475" width="13.85546875" style="291" bestFit="1" customWidth="1"/>
    <col min="9476" max="9476" width="12.7109375" style="291" bestFit="1" customWidth="1"/>
    <col min="9477" max="9482" width="11.42578125" style="291"/>
    <col min="9483" max="9483" width="45.5703125" style="291" customWidth="1"/>
    <col min="9484" max="9485" width="12.7109375" style="291" bestFit="1" customWidth="1"/>
    <col min="9486" max="9486" width="26" style="291" customWidth="1"/>
    <col min="9487" max="9729" width="11.42578125" style="291"/>
    <col min="9730" max="9730" width="48.28515625" style="291" customWidth="1"/>
    <col min="9731" max="9731" width="13.85546875" style="291" bestFit="1" customWidth="1"/>
    <col min="9732" max="9732" width="12.7109375" style="291" bestFit="1" customWidth="1"/>
    <col min="9733" max="9738" width="11.42578125" style="291"/>
    <col min="9739" max="9739" width="45.5703125" style="291" customWidth="1"/>
    <col min="9740" max="9741" width="12.7109375" style="291" bestFit="1" customWidth="1"/>
    <col min="9742" max="9742" width="26" style="291" customWidth="1"/>
    <col min="9743" max="9985" width="11.42578125" style="291"/>
    <col min="9986" max="9986" width="48.28515625" style="291" customWidth="1"/>
    <col min="9987" max="9987" width="13.85546875" style="291" bestFit="1" customWidth="1"/>
    <col min="9988" max="9988" width="12.7109375" style="291" bestFit="1" customWidth="1"/>
    <col min="9989" max="9994" width="11.42578125" style="291"/>
    <col min="9995" max="9995" width="45.5703125" style="291" customWidth="1"/>
    <col min="9996" max="9997" width="12.7109375" style="291" bestFit="1" customWidth="1"/>
    <col min="9998" max="9998" width="26" style="291" customWidth="1"/>
    <col min="9999" max="10241" width="11.42578125" style="291"/>
    <col min="10242" max="10242" width="48.28515625" style="291" customWidth="1"/>
    <col min="10243" max="10243" width="13.85546875" style="291" bestFit="1" customWidth="1"/>
    <col min="10244" max="10244" width="12.7109375" style="291" bestFit="1" customWidth="1"/>
    <col min="10245" max="10250" width="11.42578125" style="291"/>
    <col min="10251" max="10251" width="45.5703125" style="291" customWidth="1"/>
    <col min="10252" max="10253" width="12.7109375" style="291" bestFit="1" customWidth="1"/>
    <col min="10254" max="10254" width="26" style="291" customWidth="1"/>
    <col min="10255" max="10497" width="11.42578125" style="291"/>
    <col min="10498" max="10498" width="48.28515625" style="291" customWidth="1"/>
    <col min="10499" max="10499" width="13.85546875" style="291" bestFit="1" customWidth="1"/>
    <col min="10500" max="10500" width="12.7109375" style="291" bestFit="1" customWidth="1"/>
    <col min="10501" max="10506" width="11.42578125" style="291"/>
    <col min="10507" max="10507" width="45.5703125" style="291" customWidth="1"/>
    <col min="10508" max="10509" width="12.7109375" style="291" bestFit="1" customWidth="1"/>
    <col min="10510" max="10510" width="26" style="291" customWidth="1"/>
    <col min="10511" max="10753" width="11.42578125" style="291"/>
    <col min="10754" max="10754" width="48.28515625" style="291" customWidth="1"/>
    <col min="10755" max="10755" width="13.85546875" style="291" bestFit="1" customWidth="1"/>
    <col min="10756" max="10756" width="12.7109375" style="291" bestFit="1" customWidth="1"/>
    <col min="10757" max="10762" width="11.42578125" style="291"/>
    <col min="10763" max="10763" width="45.5703125" style="291" customWidth="1"/>
    <col min="10764" max="10765" width="12.7109375" style="291" bestFit="1" customWidth="1"/>
    <col min="10766" max="10766" width="26" style="291" customWidth="1"/>
    <col min="10767" max="11009" width="11.42578125" style="291"/>
    <col min="11010" max="11010" width="48.28515625" style="291" customWidth="1"/>
    <col min="11011" max="11011" width="13.85546875" style="291" bestFit="1" customWidth="1"/>
    <col min="11012" max="11012" width="12.7109375" style="291" bestFit="1" customWidth="1"/>
    <col min="11013" max="11018" width="11.42578125" style="291"/>
    <col min="11019" max="11019" width="45.5703125" style="291" customWidth="1"/>
    <col min="11020" max="11021" width="12.7109375" style="291" bestFit="1" customWidth="1"/>
    <col min="11022" max="11022" width="26" style="291" customWidth="1"/>
    <col min="11023" max="11265" width="11.42578125" style="291"/>
    <col min="11266" max="11266" width="48.28515625" style="291" customWidth="1"/>
    <col min="11267" max="11267" width="13.85546875" style="291" bestFit="1" customWidth="1"/>
    <col min="11268" max="11268" width="12.7109375" style="291" bestFit="1" customWidth="1"/>
    <col min="11269" max="11274" width="11.42578125" style="291"/>
    <col min="11275" max="11275" width="45.5703125" style="291" customWidth="1"/>
    <col min="11276" max="11277" width="12.7109375" style="291" bestFit="1" customWidth="1"/>
    <col min="11278" max="11278" width="26" style="291" customWidth="1"/>
    <col min="11279" max="11521" width="11.42578125" style="291"/>
    <col min="11522" max="11522" width="48.28515625" style="291" customWidth="1"/>
    <col min="11523" max="11523" width="13.85546875" style="291" bestFit="1" customWidth="1"/>
    <col min="11524" max="11524" width="12.7109375" style="291" bestFit="1" customWidth="1"/>
    <col min="11525" max="11530" width="11.42578125" style="291"/>
    <col min="11531" max="11531" width="45.5703125" style="291" customWidth="1"/>
    <col min="11532" max="11533" width="12.7109375" style="291" bestFit="1" customWidth="1"/>
    <col min="11534" max="11534" width="26" style="291" customWidth="1"/>
    <col min="11535" max="11777" width="11.42578125" style="291"/>
    <col min="11778" max="11778" width="48.28515625" style="291" customWidth="1"/>
    <col min="11779" max="11779" width="13.85546875" style="291" bestFit="1" customWidth="1"/>
    <col min="11780" max="11780" width="12.7109375" style="291" bestFit="1" customWidth="1"/>
    <col min="11781" max="11786" width="11.42578125" style="291"/>
    <col min="11787" max="11787" width="45.5703125" style="291" customWidth="1"/>
    <col min="11788" max="11789" width="12.7109375" style="291" bestFit="1" customWidth="1"/>
    <col min="11790" max="11790" width="26" style="291" customWidth="1"/>
    <col min="11791" max="12033" width="11.42578125" style="291"/>
    <col min="12034" max="12034" width="48.28515625" style="291" customWidth="1"/>
    <col min="12035" max="12035" width="13.85546875" style="291" bestFit="1" customWidth="1"/>
    <col min="12036" max="12036" width="12.7109375" style="291" bestFit="1" customWidth="1"/>
    <col min="12037" max="12042" width="11.42578125" style="291"/>
    <col min="12043" max="12043" width="45.5703125" style="291" customWidth="1"/>
    <col min="12044" max="12045" width="12.7109375" style="291" bestFit="1" customWidth="1"/>
    <col min="12046" max="12046" width="26" style="291" customWidth="1"/>
    <col min="12047" max="12289" width="11.42578125" style="291"/>
    <col min="12290" max="12290" width="48.28515625" style="291" customWidth="1"/>
    <col min="12291" max="12291" width="13.85546875" style="291" bestFit="1" customWidth="1"/>
    <col min="12292" max="12292" width="12.7109375" style="291" bestFit="1" customWidth="1"/>
    <col min="12293" max="12298" width="11.42578125" style="291"/>
    <col min="12299" max="12299" width="45.5703125" style="291" customWidth="1"/>
    <col min="12300" max="12301" width="12.7109375" style="291" bestFit="1" customWidth="1"/>
    <col min="12302" max="12302" width="26" style="291" customWidth="1"/>
    <col min="12303" max="12545" width="11.42578125" style="291"/>
    <col min="12546" max="12546" width="48.28515625" style="291" customWidth="1"/>
    <col min="12547" max="12547" width="13.85546875" style="291" bestFit="1" customWidth="1"/>
    <col min="12548" max="12548" width="12.7109375" style="291" bestFit="1" customWidth="1"/>
    <col min="12549" max="12554" width="11.42578125" style="291"/>
    <col min="12555" max="12555" width="45.5703125" style="291" customWidth="1"/>
    <col min="12556" max="12557" width="12.7109375" style="291" bestFit="1" customWidth="1"/>
    <col min="12558" max="12558" width="26" style="291" customWidth="1"/>
    <col min="12559" max="12801" width="11.42578125" style="291"/>
    <col min="12802" max="12802" width="48.28515625" style="291" customWidth="1"/>
    <col min="12803" max="12803" width="13.85546875" style="291" bestFit="1" customWidth="1"/>
    <col min="12804" max="12804" width="12.7109375" style="291" bestFit="1" customWidth="1"/>
    <col min="12805" max="12810" width="11.42578125" style="291"/>
    <col min="12811" max="12811" width="45.5703125" style="291" customWidth="1"/>
    <col min="12812" max="12813" width="12.7109375" style="291" bestFit="1" customWidth="1"/>
    <col min="12814" max="12814" width="26" style="291" customWidth="1"/>
    <col min="12815" max="13057" width="11.42578125" style="291"/>
    <col min="13058" max="13058" width="48.28515625" style="291" customWidth="1"/>
    <col min="13059" max="13059" width="13.85546875" style="291" bestFit="1" customWidth="1"/>
    <col min="13060" max="13060" width="12.7109375" style="291" bestFit="1" customWidth="1"/>
    <col min="13061" max="13066" width="11.42578125" style="291"/>
    <col min="13067" max="13067" width="45.5703125" style="291" customWidth="1"/>
    <col min="13068" max="13069" width="12.7109375" style="291" bestFit="1" customWidth="1"/>
    <col min="13070" max="13070" width="26" style="291" customWidth="1"/>
    <col min="13071" max="13313" width="11.42578125" style="291"/>
    <col min="13314" max="13314" width="48.28515625" style="291" customWidth="1"/>
    <col min="13315" max="13315" width="13.85546875" style="291" bestFit="1" customWidth="1"/>
    <col min="13316" max="13316" width="12.7109375" style="291" bestFit="1" customWidth="1"/>
    <col min="13317" max="13322" width="11.42578125" style="291"/>
    <col min="13323" max="13323" width="45.5703125" style="291" customWidth="1"/>
    <col min="13324" max="13325" width="12.7109375" style="291" bestFit="1" customWidth="1"/>
    <col min="13326" max="13326" width="26" style="291" customWidth="1"/>
    <col min="13327" max="13569" width="11.42578125" style="291"/>
    <col min="13570" max="13570" width="48.28515625" style="291" customWidth="1"/>
    <col min="13571" max="13571" width="13.85546875" style="291" bestFit="1" customWidth="1"/>
    <col min="13572" max="13572" width="12.7109375" style="291" bestFit="1" customWidth="1"/>
    <col min="13573" max="13578" width="11.42578125" style="291"/>
    <col min="13579" max="13579" width="45.5703125" style="291" customWidth="1"/>
    <col min="13580" max="13581" width="12.7109375" style="291" bestFit="1" customWidth="1"/>
    <col min="13582" max="13582" width="26" style="291" customWidth="1"/>
    <col min="13583" max="13825" width="11.42578125" style="291"/>
    <col min="13826" max="13826" width="48.28515625" style="291" customWidth="1"/>
    <col min="13827" max="13827" width="13.85546875" style="291" bestFit="1" customWidth="1"/>
    <col min="13828" max="13828" width="12.7109375" style="291" bestFit="1" customWidth="1"/>
    <col min="13829" max="13834" width="11.42578125" style="291"/>
    <col min="13835" max="13835" width="45.5703125" style="291" customWidth="1"/>
    <col min="13836" max="13837" width="12.7109375" style="291" bestFit="1" customWidth="1"/>
    <col min="13838" max="13838" width="26" style="291" customWidth="1"/>
    <col min="13839" max="14081" width="11.42578125" style="291"/>
    <col min="14082" max="14082" width="48.28515625" style="291" customWidth="1"/>
    <col min="14083" max="14083" width="13.85546875" style="291" bestFit="1" customWidth="1"/>
    <col min="14084" max="14084" width="12.7109375" style="291" bestFit="1" customWidth="1"/>
    <col min="14085" max="14090" width="11.42578125" style="291"/>
    <col min="14091" max="14091" width="45.5703125" style="291" customWidth="1"/>
    <col min="14092" max="14093" width="12.7109375" style="291" bestFit="1" customWidth="1"/>
    <col min="14094" max="14094" width="26" style="291" customWidth="1"/>
    <col min="14095" max="14337" width="11.42578125" style="291"/>
    <col min="14338" max="14338" width="48.28515625" style="291" customWidth="1"/>
    <col min="14339" max="14339" width="13.85546875" style="291" bestFit="1" customWidth="1"/>
    <col min="14340" max="14340" width="12.7109375" style="291" bestFit="1" customWidth="1"/>
    <col min="14341" max="14346" width="11.42578125" style="291"/>
    <col min="14347" max="14347" width="45.5703125" style="291" customWidth="1"/>
    <col min="14348" max="14349" width="12.7109375" style="291" bestFit="1" customWidth="1"/>
    <col min="14350" max="14350" width="26" style="291" customWidth="1"/>
    <col min="14351" max="14593" width="11.42578125" style="291"/>
    <col min="14594" max="14594" width="48.28515625" style="291" customWidth="1"/>
    <col min="14595" max="14595" width="13.85546875" style="291" bestFit="1" customWidth="1"/>
    <col min="14596" max="14596" width="12.7109375" style="291" bestFit="1" customWidth="1"/>
    <col min="14597" max="14602" width="11.42578125" style="291"/>
    <col min="14603" max="14603" width="45.5703125" style="291" customWidth="1"/>
    <col min="14604" max="14605" width="12.7109375" style="291" bestFit="1" customWidth="1"/>
    <col min="14606" max="14606" width="26" style="291" customWidth="1"/>
    <col min="14607" max="14849" width="11.42578125" style="291"/>
    <col min="14850" max="14850" width="48.28515625" style="291" customWidth="1"/>
    <col min="14851" max="14851" width="13.85546875" style="291" bestFit="1" customWidth="1"/>
    <col min="14852" max="14852" width="12.7109375" style="291" bestFit="1" customWidth="1"/>
    <col min="14853" max="14858" width="11.42578125" style="291"/>
    <col min="14859" max="14859" width="45.5703125" style="291" customWidth="1"/>
    <col min="14860" max="14861" width="12.7109375" style="291" bestFit="1" customWidth="1"/>
    <col min="14862" max="14862" width="26" style="291" customWidth="1"/>
    <col min="14863" max="15105" width="11.42578125" style="291"/>
    <col min="15106" max="15106" width="48.28515625" style="291" customWidth="1"/>
    <col min="15107" max="15107" width="13.85546875" style="291" bestFit="1" customWidth="1"/>
    <col min="15108" max="15108" width="12.7109375" style="291" bestFit="1" customWidth="1"/>
    <col min="15109" max="15114" width="11.42578125" style="291"/>
    <col min="15115" max="15115" width="45.5703125" style="291" customWidth="1"/>
    <col min="15116" max="15117" width="12.7109375" style="291" bestFit="1" customWidth="1"/>
    <col min="15118" max="15118" width="26" style="291" customWidth="1"/>
    <col min="15119" max="15361" width="11.42578125" style="291"/>
    <col min="15362" max="15362" width="48.28515625" style="291" customWidth="1"/>
    <col min="15363" max="15363" width="13.85546875" style="291" bestFit="1" customWidth="1"/>
    <col min="15364" max="15364" width="12.7109375" style="291" bestFit="1" customWidth="1"/>
    <col min="15365" max="15370" width="11.42578125" style="291"/>
    <col min="15371" max="15371" width="45.5703125" style="291" customWidth="1"/>
    <col min="15372" max="15373" width="12.7109375" style="291" bestFit="1" customWidth="1"/>
    <col min="15374" max="15374" width="26" style="291" customWidth="1"/>
    <col min="15375" max="15617" width="11.42578125" style="291"/>
    <col min="15618" max="15618" width="48.28515625" style="291" customWidth="1"/>
    <col min="15619" max="15619" width="13.85546875" style="291" bestFit="1" customWidth="1"/>
    <col min="15620" max="15620" width="12.7109375" style="291" bestFit="1" customWidth="1"/>
    <col min="15621" max="15626" width="11.42578125" style="291"/>
    <col min="15627" max="15627" width="45.5703125" style="291" customWidth="1"/>
    <col min="15628" max="15629" width="12.7109375" style="291" bestFit="1" customWidth="1"/>
    <col min="15630" max="15630" width="26" style="291" customWidth="1"/>
    <col min="15631" max="15873" width="11.42578125" style="291"/>
    <col min="15874" max="15874" width="48.28515625" style="291" customWidth="1"/>
    <col min="15875" max="15875" width="13.85546875" style="291" bestFit="1" customWidth="1"/>
    <col min="15876" max="15876" width="12.7109375" style="291" bestFit="1" customWidth="1"/>
    <col min="15877" max="15882" width="11.42578125" style="291"/>
    <col min="15883" max="15883" width="45.5703125" style="291" customWidth="1"/>
    <col min="15884" max="15885" width="12.7109375" style="291" bestFit="1" customWidth="1"/>
    <col min="15886" max="15886" width="26" style="291" customWidth="1"/>
    <col min="15887" max="16129" width="11.42578125" style="291"/>
    <col min="16130" max="16130" width="48.28515625" style="291" customWidth="1"/>
    <col min="16131" max="16131" width="13.85546875" style="291" bestFit="1" customWidth="1"/>
    <col min="16132" max="16132" width="12.7109375" style="291" bestFit="1" customWidth="1"/>
    <col min="16133" max="16138" width="11.42578125" style="291"/>
    <col min="16139" max="16139" width="45.5703125" style="291" customWidth="1"/>
    <col min="16140" max="16141" width="12.7109375" style="291" bestFit="1" customWidth="1"/>
    <col min="16142" max="16142" width="26" style="291" customWidth="1"/>
    <col min="16143" max="16384" width="11.42578125" style="291"/>
  </cols>
  <sheetData>
    <row r="5" spans="2:14">
      <c r="E5" s="599" t="s">
        <v>766</v>
      </c>
      <c r="F5" s="599"/>
      <c r="G5" s="599"/>
      <c r="H5" s="599"/>
      <c r="I5" s="599"/>
      <c r="J5" s="599"/>
      <c r="K5" s="599"/>
      <c r="L5" s="599"/>
      <c r="M5" s="599"/>
      <c r="N5" s="599"/>
    </row>
    <row r="6" spans="2:14">
      <c r="E6" s="599"/>
      <c r="F6" s="599"/>
      <c r="G6" s="599"/>
      <c r="H6" s="599"/>
      <c r="I6" s="599"/>
      <c r="J6" s="599"/>
      <c r="K6" s="599"/>
      <c r="L6" s="599"/>
      <c r="M6" s="599"/>
      <c r="N6" s="599"/>
    </row>
    <row r="10" spans="2:14">
      <c r="B10" s="590" t="s">
        <v>408</v>
      </c>
      <c r="C10" s="590"/>
      <c r="D10" s="590"/>
      <c r="E10" s="590"/>
      <c r="K10" s="590" t="s">
        <v>409</v>
      </c>
      <c r="L10" s="590"/>
      <c r="M10" s="590"/>
      <c r="N10" s="590"/>
    </row>
    <row r="11" spans="2:14" ht="15.75" thickBot="1">
      <c r="B11" s="600" t="s">
        <v>514</v>
      </c>
      <c r="C11" s="600"/>
      <c r="D11" s="600"/>
      <c r="E11" s="600"/>
      <c r="K11" s="600" t="s">
        <v>514</v>
      </c>
      <c r="L11" s="600"/>
      <c r="M11" s="600"/>
      <c r="N11" s="600"/>
    </row>
    <row r="12" spans="2:14" ht="16.5" thickTop="1" thickBot="1">
      <c r="B12" s="460" t="s">
        <v>515</v>
      </c>
      <c r="C12" s="596" t="s">
        <v>767</v>
      </c>
      <c r="D12" s="597"/>
      <c r="E12" s="598"/>
      <c r="K12" s="594" t="s">
        <v>515</v>
      </c>
      <c r="L12" s="596" t="s">
        <v>767</v>
      </c>
      <c r="M12" s="597"/>
      <c r="N12" s="598"/>
    </row>
    <row r="13" spans="2:14" ht="15.75" thickTop="1">
      <c r="B13" s="461"/>
      <c r="C13" s="413" t="s">
        <v>406</v>
      </c>
      <c r="D13" s="413" t="s">
        <v>440</v>
      </c>
      <c r="E13" s="414" t="s">
        <v>516</v>
      </c>
      <c r="K13" s="595"/>
      <c r="L13" s="413" t="s">
        <v>406</v>
      </c>
      <c r="M13" s="413" t="s">
        <v>440</v>
      </c>
      <c r="N13" s="413" t="s">
        <v>517</v>
      </c>
    </row>
    <row r="14" spans="2:14">
      <c r="B14" s="389" t="s">
        <v>41</v>
      </c>
      <c r="C14" s="543">
        <v>22163966</v>
      </c>
      <c r="D14" s="543">
        <v>57808827</v>
      </c>
      <c r="E14" s="392">
        <f t="shared" ref="E14:E25" si="0">+D14/C14-1</f>
        <v>1.6082347807247133</v>
      </c>
      <c r="K14" s="389" t="s">
        <v>33</v>
      </c>
      <c r="L14" s="543">
        <v>14483209</v>
      </c>
      <c r="M14" s="543">
        <v>55876684</v>
      </c>
      <c r="N14" s="392">
        <f t="shared" ref="N14" si="1">+M14/L14-1</f>
        <v>2.8580320148663185</v>
      </c>
    </row>
    <row r="15" spans="2:14">
      <c r="B15" s="389" t="s">
        <v>33</v>
      </c>
      <c r="C15" s="543">
        <v>19173984</v>
      </c>
      <c r="D15" s="543">
        <v>25147349</v>
      </c>
      <c r="E15" s="392">
        <f t="shared" si="0"/>
        <v>0.31153489019287806</v>
      </c>
      <c r="K15" s="389" t="s">
        <v>40</v>
      </c>
      <c r="L15" s="543">
        <v>27405312</v>
      </c>
      <c r="M15" s="543">
        <v>13224495</v>
      </c>
      <c r="N15" s="391">
        <f t="shared" ref="N15:N25" si="2">+M15/L15-1</f>
        <v>-0.51744774881599598</v>
      </c>
    </row>
    <row r="16" spans="2:14">
      <c r="B16" s="389" t="s">
        <v>40</v>
      </c>
      <c r="C16" s="543">
        <v>15492704</v>
      </c>
      <c r="D16" s="543">
        <v>10430973</v>
      </c>
      <c r="E16" s="391">
        <f t="shared" si="0"/>
        <v>-0.32671707921354465</v>
      </c>
      <c r="K16" s="389" t="s">
        <v>212</v>
      </c>
      <c r="L16" s="543">
        <v>468184.88</v>
      </c>
      <c r="M16" s="543">
        <v>11199970.309999999</v>
      </c>
      <c r="N16" s="392" t="s">
        <v>159</v>
      </c>
    </row>
    <row r="17" spans="2:14">
      <c r="B17" s="389" t="s">
        <v>353</v>
      </c>
      <c r="C17" s="543">
        <v>6352067</v>
      </c>
      <c r="D17" s="543">
        <v>5132316</v>
      </c>
      <c r="E17" s="391">
        <f t="shared" si="0"/>
        <v>-0.19202426548712415</v>
      </c>
      <c r="K17" s="389" t="s">
        <v>41</v>
      </c>
      <c r="L17" s="543">
        <v>36154815</v>
      </c>
      <c r="M17" s="543">
        <v>9212022</v>
      </c>
      <c r="N17" s="391">
        <f t="shared" si="2"/>
        <v>-0.74520621942056686</v>
      </c>
    </row>
    <row r="18" spans="2:14">
      <c r="B18" s="389" t="s">
        <v>35</v>
      </c>
      <c r="C18" s="543">
        <v>12053816.009999998</v>
      </c>
      <c r="D18" s="543">
        <v>4955893.97</v>
      </c>
      <c r="E18" s="391">
        <f t="shared" si="0"/>
        <v>-0.588852694790718</v>
      </c>
      <c r="K18" s="389" t="s">
        <v>37</v>
      </c>
      <c r="L18" s="543">
        <v>2986748</v>
      </c>
      <c r="M18" s="543">
        <v>3824628</v>
      </c>
      <c r="N18" s="392">
        <f t="shared" si="2"/>
        <v>0.28053253906924858</v>
      </c>
    </row>
    <row r="19" spans="2:14">
      <c r="B19" s="389" t="s">
        <v>49</v>
      </c>
      <c r="C19" s="543">
        <v>7667</v>
      </c>
      <c r="D19" s="543">
        <v>3030143</v>
      </c>
      <c r="E19" s="392" t="s">
        <v>159</v>
      </c>
      <c r="K19" s="389" t="s">
        <v>353</v>
      </c>
      <c r="L19" s="543">
        <v>507757</v>
      </c>
      <c r="M19" s="543">
        <v>2392046</v>
      </c>
      <c r="N19" s="392">
        <f t="shared" si="2"/>
        <v>3.7110054612737979</v>
      </c>
    </row>
    <row r="20" spans="2:14">
      <c r="B20" s="389" t="s">
        <v>34</v>
      </c>
      <c r="C20" s="543">
        <v>3910394</v>
      </c>
      <c r="D20" s="543">
        <v>2406641</v>
      </c>
      <c r="E20" s="391">
        <f t="shared" si="0"/>
        <v>-0.38455280976801831</v>
      </c>
      <c r="K20" s="389" t="s">
        <v>756</v>
      </c>
      <c r="L20" s="543">
        <v>2810649.08</v>
      </c>
      <c r="M20" s="543">
        <v>2354034.5300000003</v>
      </c>
      <c r="N20" s="391">
        <f t="shared" si="2"/>
        <v>-0.16245875490084294</v>
      </c>
    </row>
    <row r="21" spans="2:14">
      <c r="B21" s="389" t="s">
        <v>468</v>
      </c>
      <c r="C21" s="543">
        <v>1550824</v>
      </c>
      <c r="D21" s="543">
        <v>1858982.9</v>
      </c>
      <c r="E21" s="392">
        <f t="shared" si="0"/>
        <v>0.19870655857789155</v>
      </c>
      <c r="K21" s="389" t="s">
        <v>36</v>
      </c>
      <c r="L21" s="543">
        <v>355770</v>
      </c>
      <c r="M21" s="543">
        <v>2187698</v>
      </c>
      <c r="N21" s="392">
        <f t="shared" si="2"/>
        <v>5.1491918936391485</v>
      </c>
    </row>
    <row r="22" spans="2:14">
      <c r="B22" s="389" t="s">
        <v>53</v>
      </c>
      <c r="C22" s="543">
        <v>463497</v>
      </c>
      <c r="D22" s="543">
        <v>1438486.8299999998</v>
      </c>
      <c r="E22" s="392">
        <f t="shared" si="0"/>
        <v>2.1035515440229382</v>
      </c>
      <c r="K22" s="389" t="s">
        <v>52</v>
      </c>
      <c r="L22" s="543">
        <v>1003753</v>
      </c>
      <c r="M22" s="543">
        <v>2106078</v>
      </c>
      <c r="N22" s="392">
        <f t="shared" si="2"/>
        <v>1.0982034424803713</v>
      </c>
    </row>
    <row r="23" spans="2:14">
      <c r="B23" s="389" t="s">
        <v>768</v>
      </c>
      <c r="C23" s="543">
        <v>250000</v>
      </c>
      <c r="D23" s="543">
        <v>949366</v>
      </c>
      <c r="E23" s="392">
        <f t="shared" si="0"/>
        <v>2.7974640000000002</v>
      </c>
      <c r="K23" s="389" t="s">
        <v>488</v>
      </c>
      <c r="L23" s="543">
        <v>1412194.9000000001</v>
      </c>
      <c r="M23" s="543">
        <v>1769578.04</v>
      </c>
      <c r="N23" s="392">
        <f t="shared" si="2"/>
        <v>0.25306927535285673</v>
      </c>
    </row>
    <row r="24" spans="2:14">
      <c r="B24" s="415" t="s">
        <v>518</v>
      </c>
      <c r="C24" s="416">
        <f>C25-SUM(C14:C23)</f>
        <v>23055147.669999987</v>
      </c>
      <c r="D24" s="416">
        <f>D25-SUM(D14:D23)</f>
        <v>10891191.570000008</v>
      </c>
      <c r="E24" s="391">
        <f t="shared" si="0"/>
        <v>-0.52760261066677372</v>
      </c>
      <c r="K24" s="415" t="s">
        <v>519</v>
      </c>
      <c r="L24" s="417">
        <f>L25-SUM(L14:L23)</f>
        <v>59725142.100000009</v>
      </c>
      <c r="M24" s="417">
        <f>M25-SUM(M14:M23)</f>
        <v>26989560.349999994</v>
      </c>
      <c r="N24" s="391">
        <f t="shared" si="2"/>
        <v>-0.54810387382904202</v>
      </c>
    </row>
    <row r="25" spans="2:14">
      <c r="B25" s="418" t="s">
        <v>113</v>
      </c>
      <c r="C25" s="544">
        <v>104474066.67999998</v>
      </c>
      <c r="D25" s="544">
        <v>124050170.27000001</v>
      </c>
      <c r="E25" s="392">
        <f t="shared" si="0"/>
        <v>0.18737763554242481</v>
      </c>
      <c r="K25" s="418" t="s">
        <v>113</v>
      </c>
      <c r="L25" s="543">
        <v>147313534.96000001</v>
      </c>
      <c r="M25" s="543">
        <v>131136794.23</v>
      </c>
      <c r="N25" s="391">
        <f t="shared" si="2"/>
        <v>-0.10981163906217084</v>
      </c>
    </row>
    <row r="30" spans="2:14">
      <c r="B30" s="590" t="s">
        <v>520</v>
      </c>
      <c r="C30" s="590"/>
      <c r="D30" s="590"/>
      <c r="E30" s="590"/>
      <c r="K30" s="590" t="s">
        <v>521</v>
      </c>
      <c r="L30" s="590"/>
      <c r="M30" s="590"/>
      <c r="N30" s="590"/>
    </row>
    <row r="31" spans="2:14" ht="15.75" thickBot="1">
      <c r="B31" s="600" t="s">
        <v>514</v>
      </c>
      <c r="C31" s="600"/>
      <c r="D31" s="600"/>
      <c r="E31" s="600"/>
      <c r="K31" s="600" t="s">
        <v>514</v>
      </c>
      <c r="L31" s="600"/>
      <c r="M31" s="600"/>
      <c r="N31" s="600"/>
    </row>
    <row r="32" spans="2:14" ht="15.75" thickTop="1">
      <c r="B32" s="602" t="s">
        <v>515</v>
      </c>
      <c r="C32" s="602" t="s">
        <v>767</v>
      </c>
      <c r="D32" s="602"/>
      <c r="E32" s="602"/>
      <c r="K32" s="594" t="s">
        <v>515</v>
      </c>
      <c r="L32" s="602" t="s">
        <v>767</v>
      </c>
      <c r="M32" s="602"/>
      <c r="N32" s="602"/>
    </row>
    <row r="33" spans="2:14">
      <c r="B33" s="602"/>
      <c r="C33" s="419" t="s">
        <v>406</v>
      </c>
      <c r="D33" s="419" t="s">
        <v>440</v>
      </c>
      <c r="E33" s="420" t="s">
        <v>517</v>
      </c>
      <c r="K33" s="595"/>
      <c r="L33" s="413" t="s">
        <v>406</v>
      </c>
      <c r="M33" s="413" t="s">
        <v>440</v>
      </c>
      <c r="N33" s="414" t="s">
        <v>516</v>
      </c>
    </row>
    <row r="34" spans="2:14">
      <c r="B34" s="389" t="s">
        <v>769</v>
      </c>
      <c r="C34" s="543">
        <v>27109530.350000001</v>
      </c>
      <c r="D34" s="543">
        <v>24776987.009999998</v>
      </c>
      <c r="E34" s="391">
        <f t="shared" ref="E34:E45" si="3">+D34/C34-1</f>
        <v>-8.6041451470589725E-2</v>
      </c>
      <c r="G34" s="421"/>
      <c r="K34" s="389" t="s">
        <v>41</v>
      </c>
      <c r="L34" s="543">
        <v>140102785</v>
      </c>
      <c r="M34" s="543">
        <v>137142834</v>
      </c>
      <c r="N34" s="391">
        <f t="shared" ref="N34:N45" si="4">+M34/L34-1</f>
        <v>-2.1126996155001465E-2</v>
      </c>
    </row>
    <row r="35" spans="2:14">
      <c r="B35" s="389" t="s">
        <v>330</v>
      </c>
      <c r="C35" s="543">
        <v>14084647</v>
      </c>
      <c r="D35" s="543">
        <v>17796524</v>
      </c>
      <c r="E35" s="392">
        <f t="shared" si="3"/>
        <v>0.26354064819657896</v>
      </c>
      <c r="K35" s="389" t="s">
        <v>48</v>
      </c>
      <c r="L35" s="543">
        <v>37575193</v>
      </c>
      <c r="M35" s="543">
        <v>75875176</v>
      </c>
      <c r="N35" s="392">
        <f t="shared" si="4"/>
        <v>1.0192890559470977</v>
      </c>
    </row>
    <row r="36" spans="2:14">
      <c r="B36" s="389" t="s">
        <v>466</v>
      </c>
      <c r="C36" s="543">
        <v>4843135.76</v>
      </c>
      <c r="D36" s="543">
        <v>13030538</v>
      </c>
      <c r="E36" s="392">
        <f t="shared" si="3"/>
        <v>1.6905167737854203</v>
      </c>
      <c r="K36" s="389" t="s">
        <v>47</v>
      </c>
      <c r="L36" s="543">
        <v>62656609</v>
      </c>
      <c r="M36" s="543">
        <v>62635342</v>
      </c>
      <c r="N36" s="545">
        <f t="shared" si="4"/>
        <v>-3.3942149662136156E-4</v>
      </c>
    </row>
    <row r="37" spans="2:14">
      <c r="B37" s="389" t="s">
        <v>460</v>
      </c>
      <c r="C37" s="543">
        <v>1546775.31</v>
      </c>
      <c r="D37" s="543">
        <v>12904450.639999999</v>
      </c>
      <c r="E37" s="392">
        <f t="shared" si="3"/>
        <v>7.3428087819684666</v>
      </c>
      <c r="K37" s="389" t="s">
        <v>453</v>
      </c>
      <c r="L37" s="543">
        <v>3305060</v>
      </c>
      <c r="M37" s="543">
        <v>23205387</v>
      </c>
      <c r="N37" s="392">
        <f t="shared" si="4"/>
        <v>6.0211696610651551</v>
      </c>
    </row>
    <row r="38" spans="2:14">
      <c r="B38" s="389" t="s">
        <v>47</v>
      </c>
      <c r="C38" s="543">
        <v>8545171</v>
      </c>
      <c r="D38" s="543">
        <v>8278764</v>
      </c>
      <c r="E38" s="391">
        <f t="shared" si="3"/>
        <v>-3.1176321690929321E-2</v>
      </c>
      <c r="K38" s="389" t="s">
        <v>470</v>
      </c>
      <c r="L38" s="543">
        <v>12411100</v>
      </c>
      <c r="M38" s="543">
        <v>9428975</v>
      </c>
      <c r="N38" s="391">
        <f t="shared" si="4"/>
        <v>-0.24027886327561621</v>
      </c>
    </row>
    <row r="39" spans="2:14">
      <c r="B39" s="389" t="s">
        <v>505</v>
      </c>
      <c r="C39" s="543">
        <v>4518512</v>
      </c>
      <c r="D39" s="543">
        <v>5423651</v>
      </c>
      <c r="E39" s="392">
        <f t="shared" si="3"/>
        <v>0.20031793652423624</v>
      </c>
      <c r="K39" s="389" t="s">
        <v>482</v>
      </c>
      <c r="L39" s="543">
        <v>6600757.629999999</v>
      </c>
      <c r="M39" s="543">
        <v>6797582.6999999993</v>
      </c>
      <c r="N39" s="392">
        <f t="shared" si="4"/>
        <v>2.9818557358543663E-2</v>
      </c>
    </row>
    <row r="40" spans="2:14">
      <c r="B40" s="389" t="s">
        <v>49</v>
      </c>
      <c r="C40" s="543">
        <v>4059261</v>
      </c>
      <c r="D40" s="543">
        <v>4809020</v>
      </c>
      <c r="E40" s="392">
        <f t="shared" si="3"/>
        <v>0.18470332407795409</v>
      </c>
      <c r="K40" s="389" t="s">
        <v>352</v>
      </c>
      <c r="L40" s="543">
        <v>0</v>
      </c>
      <c r="M40" s="543">
        <v>6567000</v>
      </c>
      <c r="N40" s="392" t="s">
        <v>159</v>
      </c>
    </row>
    <row r="41" spans="2:14">
      <c r="B41" s="389" t="s">
        <v>757</v>
      </c>
      <c r="C41" s="543">
        <v>1140000</v>
      </c>
      <c r="D41" s="543">
        <v>4300000</v>
      </c>
      <c r="E41" s="392">
        <f t="shared" si="3"/>
        <v>2.7719298245614037</v>
      </c>
      <c r="K41" s="389" t="s">
        <v>486</v>
      </c>
      <c r="L41" s="543">
        <v>6998132.9799999995</v>
      </c>
      <c r="M41" s="543">
        <v>6109006.25</v>
      </c>
      <c r="N41" s="391">
        <f t="shared" si="4"/>
        <v>-0.12705199122980937</v>
      </c>
    </row>
    <row r="42" spans="2:14">
      <c r="B42" s="389" t="s">
        <v>39</v>
      </c>
      <c r="C42" s="543">
        <v>5696280</v>
      </c>
      <c r="D42" s="543">
        <v>3767802</v>
      </c>
      <c r="E42" s="391">
        <f t="shared" si="3"/>
        <v>-0.33855042238092226</v>
      </c>
      <c r="K42" s="389" t="s">
        <v>49</v>
      </c>
      <c r="L42" s="543">
        <v>5340077</v>
      </c>
      <c r="M42" s="543">
        <v>5496097</v>
      </c>
      <c r="N42" s="392">
        <f t="shared" si="4"/>
        <v>2.92168071733796E-2</v>
      </c>
    </row>
    <row r="43" spans="2:14">
      <c r="B43" s="389" t="s">
        <v>758</v>
      </c>
      <c r="C43" s="543">
        <v>658858.72</v>
      </c>
      <c r="D43" s="543">
        <v>3490593.05</v>
      </c>
      <c r="E43" s="392">
        <f t="shared" si="3"/>
        <v>4.2979386081434878</v>
      </c>
      <c r="K43" s="389" t="s">
        <v>468</v>
      </c>
      <c r="L43" s="543">
        <v>3152719.74</v>
      </c>
      <c r="M43" s="543">
        <v>5114888.59</v>
      </c>
      <c r="N43" s="392">
        <f t="shared" si="4"/>
        <v>0.62237338292556244</v>
      </c>
    </row>
    <row r="44" spans="2:14">
      <c r="B44" s="415" t="s">
        <v>522</v>
      </c>
      <c r="C44" s="416">
        <f>C45-SUM(C34:C43)</f>
        <v>53795403.149999991</v>
      </c>
      <c r="D44" s="416">
        <f>D45-SUM(D34:D43)</f>
        <v>55394485.699999988</v>
      </c>
      <c r="E44" s="392">
        <f t="shared" si="3"/>
        <v>2.9725263802582003E-2</v>
      </c>
      <c r="K44" s="415" t="s">
        <v>523</v>
      </c>
      <c r="L44" s="417">
        <f>L45-SUM(L34:L43)</f>
        <v>50692696.689999998</v>
      </c>
      <c r="M44" s="417">
        <f>M45-SUM(M34:M43)</f>
        <v>56067226.770000041</v>
      </c>
      <c r="N44" s="392">
        <f t="shared" si="4"/>
        <v>0.10602178283918873</v>
      </c>
    </row>
    <row r="45" spans="2:14">
      <c r="B45" s="418" t="s">
        <v>113</v>
      </c>
      <c r="C45" s="543">
        <v>125997574.28999999</v>
      </c>
      <c r="D45" s="543">
        <v>153972815.39999998</v>
      </c>
      <c r="E45" s="392">
        <f t="shared" si="3"/>
        <v>0.22202999754274066</v>
      </c>
      <c r="K45" s="418" t="s">
        <v>113</v>
      </c>
      <c r="L45" s="543">
        <v>328835131.04000002</v>
      </c>
      <c r="M45" s="543">
        <v>394439515.31</v>
      </c>
      <c r="N45" s="392">
        <f t="shared" si="4"/>
        <v>0.19950539975006421</v>
      </c>
    </row>
    <row r="49" spans="2:14">
      <c r="B49" s="590" t="s">
        <v>410</v>
      </c>
      <c r="C49" s="590"/>
      <c r="D49" s="590"/>
      <c r="E49" s="590"/>
      <c r="K49" s="590" t="s">
        <v>43</v>
      </c>
      <c r="L49" s="590"/>
      <c r="M49" s="590"/>
      <c r="N49" s="590"/>
    </row>
    <row r="50" spans="2:14" ht="15.75" thickBot="1">
      <c r="B50" s="601" t="s">
        <v>514</v>
      </c>
      <c r="C50" s="601"/>
      <c r="D50" s="601"/>
      <c r="E50" s="601"/>
      <c r="K50" s="601" t="s">
        <v>514</v>
      </c>
      <c r="L50" s="601"/>
      <c r="M50" s="601"/>
      <c r="N50" s="601"/>
    </row>
    <row r="51" spans="2:14" ht="16.5" thickTop="1" thickBot="1">
      <c r="B51" s="594" t="s">
        <v>515</v>
      </c>
      <c r="C51" s="602" t="s">
        <v>767</v>
      </c>
      <c r="D51" s="602"/>
      <c r="E51" s="602"/>
      <c r="K51" s="602" t="s">
        <v>515</v>
      </c>
      <c r="L51" s="602" t="s">
        <v>767</v>
      </c>
      <c r="M51" s="602"/>
      <c r="N51" s="602"/>
    </row>
    <row r="52" spans="2:14" ht="15.75" thickTop="1">
      <c r="B52" s="595"/>
      <c r="C52" s="413" t="s">
        <v>406</v>
      </c>
      <c r="D52" s="413" t="s">
        <v>440</v>
      </c>
      <c r="E52" s="422" t="s">
        <v>516</v>
      </c>
      <c r="K52" s="602"/>
      <c r="L52" s="419" t="s">
        <v>406</v>
      </c>
      <c r="M52" s="419" t="s">
        <v>440</v>
      </c>
      <c r="N52" s="420" t="s">
        <v>516</v>
      </c>
    </row>
    <row r="53" spans="2:14">
      <c r="B53" s="389" t="s">
        <v>40</v>
      </c>
      <c r="C53" s="543">
        <v>68999096</v>
      </c>
      <c r="D53" s="543">
        <v>130514773</v>
      </c>
      <c r="E53" s="392">
        <f t="shared" ref="E53:E64" si="5">+D53/C53-1</f>
        <v>0.89154323123305845</v>
      </c>
      <c r="K53" s="389" t="s">
        <v>298</v>
      </c>
      <c r="L53" s="543">
        <v>154965343</v>
      </c>
      <c r="M53" s="543">
        <v>51576875</v>
      </c>
      <c r="N53" s="391">
        <f t="shared" ref="N53:N64" si="6">+M53/L53-1</f>
        <v>-0.66717154944767232</v>
      </c>
    </row>
    <row r="54" spans="2:14">
      <c r="B54" s="389" t="s">
        <v>39</v>
      </c>
      <c r="C54" s="543">
        <v>29900669</v>
      </c>
      <c r="D54" s="543">
        <v>48148871</v>
      </c>
      <c r="E54" s="392">
        <f t="shared" si="5"/>
        <v>0.61029410412188434</v>
      </c>
      <c r="K54" s="389" t="s">
        <v>455</v>
      </c>
      <c r="L54" s="543">
        <v>23924888</v>
      </c>
      <c r="M54" s="543">
        <v>21098275</v>
      </c>
      <c r="N54" s="391">
        <f t="shared" si="6"/>
        <v>-0.11814529706471355</v>
      </c>
    </row>
    <row r="55" spans="2:14">
      <c r="B55" s="389" t="s">
        <v>212</v>
      </c>
      <c r="C55" s="543">
        <v>52059895.149999999</v>
      </c>
      <c r="D55" s="543">
        <v>25712580.800000001</v>
      </c>
      <c r="E55" s="391">
        <f t="shared" si="5"/>
        <v>-0.50609618544343149</v>
      </c>
      <c r="K55" s="389" t="s">
        <v>35</v>
      </c>
      <c r="L55" s="543">
        <v>15787614.030000001</v>
      </c>
      <c r="M55" s="543">
        <v>18255192.25</v>
      </c>
      <c r="N55" s="392">
        <f t="shared" si="6"/>
        <v>0.15629836245749651</v>
      </c>
    </row>
    <row r="56" spans="2:14">
      <c r="B56" s="389" t="s">
        <v>35</v>
      </c>
      <c r="C56" s="543">
        <v>17846413.32</v>
      </c>
      <c r="D56" s="543">
        <v>22424879.580000002</v>
      </c>
      <c r="E56" s="392">
        <f t="shared" si="5"/>
        <v>0.25654825862791353</v>
      </c>
      <c r="G56" s="546"/>
      <c r="K56" s="389" t="s">
        <v>33</v>
      </c>
      <c r="L56" s="543">
        <v>47627713</v>
      </c>
      <c r="M56" s="543">
        <v>14076003</v>
      </c>
      <c r="N56" s="391">
        <f t="shared" si="6"/>
        <v>-0.70445771771573407</v>
      </c>
    </row>
    <row r="57" spans="2:14">
      <c r="B57" s="389" t="s">
        <v>33</v>
      </c>
      <c r="C57" s="543">
        <v>4993777</v>
      </c>
      <c r="D57" s="543">
        <v>21224249</v>
      </c>
      <c r="E57" s="392">
        <f t="shared" si="5"/>
        <v>3.2501395236511366</v>
      </c>
      <c r="K57" s="389" t="s">
        <v>468</v>
      </c>
      <c r="L57" s="543">
        <v>4605172.99</v>
      </c>
      <c r="M57" s="543">
        <v>7427832.5999999996</v>
      </c>
      <c r="N57" s="392">
        <f t="shared" si="6"/>
        <v>0.61293237325271455</v>
      </c>
    </row>
    <row r="58" spans="2:14">
      <c r="B58" s="389" t="s">
        <v>453</v>
      </c>
      <c r="C58" s="543">
        <v>23588347</v>
      </c>
      <c r="D58" s="543">
        <v>17198058</v>
      </c>
      <c r="E58" s="391">
        <f t="shared" si="5"/>
        <v>-0.27090872454945658</v>
      </c>
      <c r="K58" s="389" t="s">
        <v>460</v>
      </c>
      <c r="L58" s="543">
        <v>2909664.64</v>
      </c>
      <c r="M58" s="543">
        <v>6727481.1799999997</v>
      </c>
      <c r="N58" s="392">
        <f t="shared" si="6"/>
        <v>1.3121156601745003</v>
      </c>
    </row>
    <row r="59" spans="2:14">
      <c r="B59" s="389" t="s">
        <v>41</v>
      </c>
      <c r="C59" s="543">
        <v>9038501</v>
      </c>
      <c r="D59" s="543">
        <v>16576573</v>
      </c>
      <c r="E59" s="392">
        <f t="shared" si="5"/>
        <v>0.83399581412891366</v>
      </c>
      <c r="K59" s="389" t="s">
        <v>40</v>
      </c>
      <c r="L59" s="543">
        <v>107540553</v>
      </c>
      <c r="M59" s="543">
        <v>6609949</v>
      </c>
      <c r="N59" s="391">
        <f t="shared" si="6"/>
        <v>-0.93853528910159123</v>
      </c>
    </row>
    <row r="60" spans="2:14">
      <c r="B60" s="389" t="s">
        <v>455</v>
      </c>
      <c r="C60" s="543">
        <v>21877933</v>
      </c>
      <c r="D60" s="543">
        <v>14707819</v>
      </c>
      <c r="E60" s="391">
        <f t="shared" si="5"/>
        <v>-0.32773269759990575</v>
      </c>
      <c r="K60" s="389" t="s">
        <v>34</v>
      </c>
      <c r="L60" s="543">
        <v>1598592</v>
      </c>
      <c r="M60" s="543">
        <v>5663710</v>
      </c>
      <c r="N60" s="392">
        <f t="shared" si="6"/>
        <v>2.5429365341500518</v>
      </c>
    </row>
    <row r="61" spans="2:14">
      <c r="B61" s="389" t="s">
        <v>756</v>
      </c>
      <c r="C61" s="543">
        <v>10089521.33</v>
      </c>
      <c r="D61" s="543">
        <v>8236892.4500000002</v>
      </c>
      <c r="E61" s="391">
        <f t="shared" si="5"/>
        <v>-0.18361910534758741</v>
      </c>
      <c r="K61" s="389" t="s">
        <v>394</v>
      </c>
      <c r="L61" s="543">
        <v>2139189</v>
      </c>
      <c r="M61" s="543">
        <v>4741783</v>
      </c>
      <c r="N61" s="392">
        <f t="shared" si="6"/>
        <v>1.2166264878886346</v>
      </c>
    </row>
    <row r="62" spans="2:14">
      <c r="B62" s="389" t="s">
        <v>42</v>
      </c>
      <c r="C62" s="543">
        <v>3706425</v>
      </c>
      <c r="D62" s="543">
        <v>7819288</v>
      </c>
      <c r="E62" s="392">
        <f t="shared" si="5"/>
        <v>1.1096576890129977</v>
      </c>
      <c r="K62" s="389" t="s">
        <v>37</v>
      </c>
      <c r="L62" s="543">
        <v>10897636</v>
      </c>
      <c r="M62" s="543">
        <v>4229807</v>
      </c>
      <c r="N62" s="391">
        <f t="shared" si="6"/>
        <v>-0.61186013186713151</v>
      </c>
    </row>
    <row r="63" spans="2:14">
      <c r="B63" s="415" t="s">
        <v>524</v>
      </c>
      <c r="C63" s="417">
        <f>C64-SUM(C53:C62)</f>
        <v>103418364.71999997</v>
      </c>
      <c r="D63" s="417">
        <f>D64-SUM(D53:D62)</f>
        <v>60552375.850000024</v>
      </c>
      <c r="E63" s="391">
        <f t="shared" si="5"/>
        <v>-0.41449107212299729</v>
      </c>
      <c r="K63" s="415" t="s">
        <v>525</v>
      </c>
      <c r="L63" s="423">
        <f>L64-SUM(L53:L62)</f>
        <v>83748165.519999981</v>
      </c>
      <c r="M63" s="423">
        <f>M64-SUM(M53:M62)</f>
        <v>58554415.569999993</v>
      </c>
      <c r="N63" s="391">
        <f t="shared" si="6"/>
        <v>-0.30082748432242901</v>
      </c>
    </row>
    <row r="64" spans="2:14">
      <c r="B64" s="418" t="s">
        <v>113</v>
      </c>
      <c r="C64" s="543">
        <v>345518942.51999998</v>
      </c>
      <c r="D64" s="543">
        <v>373116359.68000001</v>
      </c>
      <c r="E64" s="392">
        <f t="shared" si="5"/>
        <v>7.987237098701927E-2</v>
      </c>
      <c r="K64" s="418" t="s">
        <v>113</v>
      </c>
      <c r="L64" s="543">
        <v>455744531.17999995</v>
      </c>
      <c r="M64" s="543">
        <v>198961323.59999999</v>
      </c>
      <c r="N64" s="391">
        <f t="shared" si="6"/>
        <v>-0.56343672828096181</v>
      </c>
    </row>
    <row r="68" spans="2:5" ht="15.75" thickBot="1">
      <c r="B68" s="590" t="s">
        <v>526</v>
      </c>
      <c r="C68" s="590"/>
      <c r="D68" s="590"/>
      <c r="E68" s="590"/>
    </row>
    <row r="69" spans="2:5" ht="16.5" thickTop="1" thickBot="1">
      <c r="B69" s="591" t="s">
        <v>514</v>
      </c>
      <c r="C69" s="592"/>
      <c r="D69" s="592"/>
      <c r="E69" s="593"/>
    </row>
    <row r="70" spans="2:5" ht="16.5" thickTop="1" thickBot="1">
      <c r="B70" s="594" t="s">
        <v>515</v>
      </c>
      <c r="C70" s="596" t="s">
        <v>767</v>
      </c>
      <c r="D70" s="597"/>
      <c r="E70" s="598"/>
    </row>
    <row r="71" spans="2:5" ht="15.75" thickTop="1">
      <c r="B71" s="595"/>
      <c r="C71" s="413" t="s">
        <v>406</v>
      </c>
      <c r="D71" s="413" t="s">
        <v>440</v>
      </c>
      <c r="E71" s="414" t="s">
        <v>516</v>
      </c>
    </row>
    <row r="72" spans="2:5">
      <c r="B72" s="389" t="s">
        <v>769</v>
      </c>
      <c r="C72" s="543">
        <v>25826990.109999999</v>
      </c>
      <c r="D72" s="543">
        <v>70285464.989999995</v>
      </c>
      <c r="E72" s="392">
        <f t="shared" ref="E72:E83" si="7">+D72/C72-1</f>
        <v>1.7213958998182308</v>
      </c>
    </row>
    <row r="73" spans="2:5">
      <c r="B73" s="389" t="s">
        <v>352</v>
      </c>
      <c r="C73" s="543">
        <v>16357000</v>
      </c>
      <c r="D73" s="543">
        <v>19032000</v>
      </c>
      <c r="E73" s="392">
        <f t="shared" si="7"/>
        <v>0.16353854618817643</v>
      </c>
    </row>
    <row r="74" spans="2:5">
      <c r="B74" s="389" t="s">
        <v>36</v>
      </c>
      <c r="C74" s="543">
        <v>15633611</v>
      </c>
      <c r="D74" s="543">
        <v>18442540</v>
      </c>
      <c r="E74" s="392">
        <f t="shared" si="7"/>
        <v>0.1796724378008383</v>
      </c>
    </row>
    <row r="75" spans="2:5">
      <c r="B75" s="389" t="s">
        <v>51</v>
      </c>
      <c r="C75" s="543">
        <v>8454167</v>
      </c>
      <c r="D75" s="543">
        <v>16516195</v>
      </c>
      <c r="E75" s="392">
        <f t="shared" si="7"/>
        <v>0.95361589142963465</v>
      </c>
    </row>
    <row r="76" spans="2:5">
      <c r="B76" s="389" t="s">
        <v>37</v>
      </c>
      <c r="C76" s="543">
        <v>14552988.15</v>
      </c>
      <c r="D76" s="543">
        <v>7401106</v>
      </c>
      <c r="E76" s="391">
        <f t="shared" si="7"/>
        <v>-0.4914373650472601</v>
      </c>
    </row>
    <row r="77" spans="2:5">
      <c r="B77" s="389" t="s">
        <v>47</v>
      </c>
      <c r="C77" s="543">
        <v>6850725</v>
      </c>
      <c r="D77" s="543">
        <v>7024832</v>
      </c>
      <c r="E77" s="392">
        <f t="shared" si="7"/>
        <v>2.541439044772642E-2</v>
      </c>
    </row>
    <row r="78" spans="2:5">
      <c r="B78" s="389" t="s">
        <v>212</v>
      </c>
      <c r="C78" s="543">
        <v>0</v>
      </c>
      <c r="D78" s="543">
        <v>5333087.33</v>
      </c>
      <c r="E78" s="392" t="s">
        <v>159</v>
      </c>
    </row>
    <row r="79" spans="2:5">
      <c r="B79" s="389" t="s">
        <v>330</v>
      </c>
      <c r="C79" s="543">
        <v>2242828</v>
      </c>
      <c r="D79" s="543">
        <v>4898235</v>
      </c>
      <c r="E79" s="392">
        <f t="shared" si="7"/>
        <v>1.1839548106230171</v>
      </c>
    </row>
    <row r="80" spans="2:5">
      <c r="B80" s="389" t="s">
        <v>356</v>
      </c>
      <c r="C80" s="543">
        <v>0</v>
      </c>
      <c r="D80" s="543">
        <v>4216447</v>
      </c>
      <c r="E80" s="392" t="s">
        <v>159</v>
      </c>
    </row>
    <row r="81" spans="2:5">
      <c r="B81" s="389" t="s">
        <v>52</v>
      </c>
      <c r="C81" s="543">
        <v>3350681</v>
      </c>
      <c r="D81" s="543">
        <v>4214100</v>
      </c>
      <c r="E81" s="392">
        <f t="shared" si="7"/>
        <v>0.25768463187035717</v>
      </c>
    </row>
    <row r="82" spans="2:5">
      <c r="B82" s="415" t="s">
        <v>527</v>
      </c>
      <c r="C82" s="424">
        <f>C83-SUM(C72:C81)</f>
        <v>49958865.070000008</v>
      </c>
      <c r="D82" s="424">
        <f>D83-SUM(D72:D81)</f>
        <v>27538264.809999973</v>
      </c>
      <c r="E82" s="391">
        <f t="shared" si="7"/>
        <v>-0.4487812168788331</v>
      </c>
    </row>
    <row r="83" spans="2:5">
      <c r="B83" s="418" t="s">
        <v>113</v>
      </c>
      <c r="C83" s="547">
        <v>143227855.33000001</v>
      </c>
      <c r="D83" s="547">
        <v>184902272.13</v>
      </c>
      <c r="E83" s="392">
        <f t="shared" si="7"/>
        <v>0.29096586487301113</v>
      </c>
    </row>
    <row r="87" spans="2:5">
      <c r="B87" s="365" t="s">
        <v>422</v>
      </c>
    </row>
    <row r="88" spans="2:5">
      <c r="B88" s="370" t="s">
        <v>423</v>
      </c>
    </row>
    <row r="89" spans="2:5">
      <c r="B89" s="370" t="s">
        <v>424</v>
      </c>
    </row>
    <row r="90" spans="2:5">
      <c r="B90" s="370"/>
    </row>
    <row r="91" spans="2:5">
      <c r="B91" s="374" t="s">
        <v>425</v>
      </c>
    </row>
    <row r="92" spans="2:5">
      <c r="B92" s="377"/>
    </row>
    <row r="93" spans="2:5">
      <c r="B93" s="377" t="s">
        <v>753</v>
      </c>
    </row>
    <row r="95" spans="2:5">
      <c r="B95" s="377" t="s">
        <v>426</v>
      </c>
    </row>
    <row r="96" spans="2:5">
      <c r="B96" s="379" t="s">
        <v>528</v>
      </c>
    </row>
    <row r="97" spans="2:2">
      <c r="B97" s="379"/>
    </row>
  </sheetData>
  <mergeCells count="28">
    <mergeCell ref="K31:N31"/>
    <mergeCell ref="B50:E50"/>
    <mergeCell ref="K50:N50"/>
    <mergeCell ref="B51:B52"/>
    <mergeCell ref="C51:E51"/>
    <mergeCell ref="B32:B33"/>
    <mergeCell ref="C32:E32"/>
    <mergeCell ref="K32:K33"/>
    <mergeCell ref="L32:N32"/>
    <mergeCell ref="B49:E49"/>
    <mergeCell ref="K49:N49"/>
    <mergeCell ref="K51:K52"/>
    <mergeCell ref="L51:N51"/>
    <mergeCell ref="K12:K13"/>
    <mergeCell ref="L12:N12"/>
    <mergeCell ref="B30:E30"/>
    <mergeCell ref="K30:N30"/>
    <mergeCell ref="E5:N6"/>
    <mergeCell ref="B10:E10"/>
    <mergeCell ref="K10:N10"/>
    <mergeCell ref="B11:E11"/>
    <mergeCell ref="K11:N11"/>
    <mergeCell ref="B68:E68"/>
    <mergeCell ref="B69:E69"/>
    <mergeCell ref="B70:B71"/>
    <mergeCell ref="C70:E70"/>
    <mergeCell ref="C12:E12"/>
    <mergeCell ref="B31:E3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0"/>
  <sheetViews>
    <sheetView workbookViewId="0"/>
  </sheetViews>
  <sheetFormatPr baseColWidth="10" defaultRowHeight="15"/>
  <cols>
    <col min="2" max="2" width="44.7109375" customWidth="1"/>
    <col min="3" max="3" width="34.42578125" style="204" customWidth="1"/>
    <col min="4" max="4" width="21.7109375" customWidth="1"/>
    <col min="5" max="5" width="15.42578125" customWidth="1"/>
    <col min="6" max="6" width="16" customWidth="1"/>
  </cols>
  <sheetData>
    <row r="1" spans="2:6">
      <c r="B1" s="188" t="s">
        <v>669</v>
      </c>
      <c r="C1" s="188" t="s">
        <v>670</v>
      </c>
      <c r="D1" s="188" t="s">
        <v>671</v>
      </c>
      <c r="E1" s="188" t="s">
        <v>672</v>
      </c>
      <c r="F1" s="188" t="s">
        <v>673</v>
      </c>
    </row>
    <row r="3" spans="2:6">
      <c r="B3" s="447" t="s">
        <v>563</v>
      </c>
      <c r="C3" s="447"/>
      <c r="D3" s="447"/>
      <c r="E3" s="447"/>
      <c r="F3" s="447"/>
    </row>
    <row r="4" spans="2:6">
      <c r="B4" t="s">
        <v>564</v>
      </c>
      <c r="C4" s="204" t="s">
        <v>565</v>
      </c>
      <c r="D4" t="s">
        <v>61</v>
      </c>
      <c r="E4" t="s">
        <v>566</v>
      </c>
      <c r="F4" s="364">
        <v>1200</v>
      </c>
    </row>
    <row r="5" spans="2:6">
      <c r="B5" t="s">
        <v>567</v>
      </c>
      <c r="C5" s="204" t="s">
        <v>568</v>
      </c>
      <c r="D5" t="s">
        <v>355</v>
      </c>
      <c r="E5" t="s">
        <v>569</v>
      </c>
      <c r="F5">
        <v>520</v>
      </c>
    </row>
    <row r="6" spans="2:6">
      <c r="B6" t="s">
        <v>352</v>
      </c>
      <c r="C6" s="204" t="s">
        <v>570</v>
      </c>
      <c r="D6" t="s">
        <v>63</v>
      </c>
      <c r="E6" t="s">
        <v>571</v>
      </c>
      <c r="F6" s="364">
        <v>1500</v>
      </c>
    </row>
    <row r="7" spans="2:6">
      <c r="B7" t="s">
        <v>35</v>
      </c>
      <c r="C7" s="204" t="s">
        <v>572</v>
      </c>
      <c r="D7" t="s">
        <v>66</v>
      </c>
      <c r="E7" t="s">
        <v>566</v>
      </c>
      <c r="F7" s="364">
        <v>1300</v>
      </c>
    </row>
    <row r="8" spans="2:6">
      <c r="B8" t="s">
        <v>45</v>
      </c>
      <c r="C8" s="204" t="s">
        <v>573</v>
      </c>
      <c r="D8" t="s">
        <v>70</v>
      </c>
      <c r="E8" t="s">
        <v>574</v>
      </c>
      <c r="F8">
        <v>640</v>
      </c>
    </row>
    <row r="11" spans="2:6">
      <c r="B11" s="447" t="s">
        <v>575</v>
      </c>
      <c r="C11" s="447"/>
      <c r="D11" s="447"/>
      <c r="E11" s="447"/>
      <c r="F11" s="447"/>
    </row>
    <row r="12" spans="2:6">
      <c r="B12" t="s">
        <v>455</v>
      </c>
      <c r="C12" s="204" t="s">
        <v>576</v>
      </c>
      <c r="D12" t="s">
        <v>59</v>
      </c>
      <c r="E12" t="s">
        <v>566</v>
      </c>
      <c r="F12" s="364">
        <v>5000</v>
      </c>
    </row>
    <row r="13" spans="2:6">
      <c r="B13" t="s">
        <v>37</v>
      </c>
      <c r="C13" s="204" t="s">
        <v>577</v>
      </c>
      <c r="D13" t="s">
        <v>64</v>
      </c>
      <c r="E13" t="s">
        <v>578</v>
      </c>
      <c r="F13" s="364">
        <v>4800</v>
      </c>
    </row>
    <row r="14" spans="2:6">
      <c r="B14" t="s">
        <v>579</v>
      </c>
      <c r="C14" s="204" t="s">
        <v>580</v>
      </c>
      <c r="D14" t="s">
        <v>581</v>
      </c>
      <c r="E14" t="s">
        <v>582</v>
      </c>
      <c r="F14">
        <v>120</v>
      </c>
    </row>
    <row r="15" spans="2:6">
      <c r="B15" t="s">
        <v>583</v>
      </c>
      <c r="C15" s="204" t="s">
        <v>584</v>
      </c>
      <c r="D15" t="s">
        <v>585</v>
      </c>
      <c r="E15" t="s">
        <v>586</v>
      </c>
      <c r="F15">
        <v>240</v>
      </c>
    </row>
    <row r="16" spans="2:6">
      <c r="B16" t="s">
        <v>453</v>
      </c>
      <c r="C16" s="204" t="s">
        <v>587</v>
      </c>
      <c r="D16" t="s">
        <v>64</v>
      </c>
      <c r="E16" t="s">
        <v>574</v>
      </c>
      <c r="F16">
        <v>132</v>
      </c>
    </row>
    <row r="17" spans="2:6">
      <c r="B17" t="s">
        <v>588</v>
      </c>
      <c r="C17" s="204" t="s">
        <v>589</v>
      </c>
      <c r="D17" t="s">
        <v>68</v>
      </c>
      <c r="E17" t="s">
        <v>590</v>
      </c>
      <c r="F17">
        <v>670</v>
      </c>
    </row>
    <row r="18" spans="2:6">
      <c r="B18" t="s">
        <v>591</v>
      </c>
      <c r="C18" s="204" t="s">
        <v>592</v>
      </c>
      <c r="D18" t="s">
        <v>68</v>
      </c>
      <c r="E18" t="s">
        <v>574</v>
      </c>
      <c r="F18">
        <v>30</v>
      </c>
    </row>
    <row r="19" spans="2:6">
      <c r="B19" t="s">
        <v>593</v>
      </c>
      <c r="C19" s="204" t="s">
        <v>594</v>
      </c>
      <c r="D19" t="s">
        <v>355</v>
      </c>
      <c r="E19" t="s">
        <v>569</v>
      </c>
      <c r="F19">
        <v>500</v>
      </c>
    </row>
    <row r="20" spans="2:6">
      <c r="B20" t="s">
        <v>595</v>
      </c>
      <c r="C20" s="204" t="s">
        <v>596</v>
      </c>
      <c r="D20" t="s">
        <v>58</v>
      </c>
      <c r="E20" t="s">
        <v>566</v>
      </c>
      <c r="F20" s="364">
        <v>1400</v>
      </c>
    </row>
    <row r="21" spans="2:6">
      <c r="B21" t="s">
        <v>249</v>
      </c>
      <c r="C21" s="204" t="s">
        <v>597</v>
      </c>
      <c r="D21" t="s">
        <v>58</v>
      </c>
      <c r="E21" t="s">
        <v>598</v>
      </c>
      <c r="F21">
        <v>362</v>
      </c>
    </row>
    <row r="22" spans="2:6">
      <c r="B22" t="s">
        <v>599</v>
      </c>
      <c r="C22" s="204" t="s">
        <v>600</v>
      </c>
      <c r="D22" t="s">
        <v>58</v>
      </c>
      <c r="E22" t="s">
        <v>571</v>
      </c>
      <c r="F22" s="364">
        <v>1500</v>
      </c>
    </row>
    <row r="23" spans="2:6">
      <c r="B23" t="s">
        <v>601</v>
      </c>
      <c r="C23" s="204" t="s">
        <v>602</v>
      </c>
      <c r="D23" t="s">
        <v>67</v>
      </c>
      <c r="E23" t="s">
        <v>603</v>
      </c>
      <c r="F23">
        <v>706</v>
      </c>
    </row>
    <row r="24" spans="2:6">
      <c r="B24" t="s">
        <v>604</v>
      </c>
      <c r="C24" s="204" t="s">
        <v>605</v>
      </c>
      <c r="D24" t="s">
        <v>57</v>
      </c>
      <c r="E24" t="s">
        <v>566</v>
      </c>
      <c r="F24">
        <v>300</v>
      </c>
    </row>
    <row r="25" spans="2:6">
      <c r="B25" t="s">
        <v>606</v>
      </c>
      <c r="C25" s="204" t="s">
        <v>607</v>
      </c>
      <c r="D25" t="s">
        <v>66</v>
      </c>
      <c r="E25" t="s">
        <v>608</v>
      </c>
      <c r="F25" t="s">
        <v>609</v>
      </c>
    </row>
    <row r="26" spans="2:6">
      <c r="B26" t="s">
        <v>249</v>
      </c>
      <c r="C26" s="204" t="s">
        <v>613</v>
      </c>
      <c r="D26" t="s">
        <v>59</v>
      </c>
      <c r="E26" t="s">
        <v>574</v>
      </c>
      <c r="F26">
        <v>520</v>
      </c>
    </row>
    <row r="30" spans="2:6">
      <c r="B30" s="448" t="s">
        <v>610</v>
      </c>
      <c r="C30" s="448"/>
      <c r="D30" s="448"/>
      <c r="E30" s="448"/>
      <c r="F30" s="448"/>
    </row>
    <row r="31" spans="2:6">
      <c r="B31" t="s">
        <v>611</v>
      </c>
      <c r="C31" s="204" t="s">
        <v>612</v>
      </c>
      <c r="D31" t="s">
        <v>68</v>
      </c>
      <c r="E31" t="s">
        <v>590</v>
      </c>
      <c r="F31">
        <v>71</v>
      </c>
    </row>
    <row r="32" spans="2:6">
      <c r="B32" t="s">
        <v>466</v>
      </c>
      <c r="C32" s="204" t="s">
        <v>614</v>
      </c>
      <c r="D32" t="s">
        <v>63</v>
      </c>
      <c r="E32" t="s">
        <v>566</v>
      </c>
      <c r="F32" s="364">
        <v>1348</v>
      </c>
    </row>
    <row r="36" spans="2:6">
      <c r="B36" s="447" t="s">
        <v>615</v>
      </c>
      <c r="C36" s="447"/>
      <c r="D36" s="447"/>
      <c r="E36" s="447"/>
      <c r="F36" s="447"/>
    </row>
    <row r="37" spans="2:6">
      <c r="B37" t="s">
        <v>616</v>
      </c>
      <c r="C37" s="204" t="s">
        <v>617</v>
      </c>
      <c r="D37" t="s">
        <v>64</v>
      </c>
      <c r="E37" t="s">
        <v>566</v>
      </c>
      <c r="F37" s="364">
        <v>1950</v>
      </c>
    </row>
    <row r="38" spans="2:6">
      <c r="B38" t="s">
        <v>618</v>
      </c>
      <c r="C38" s="204" t="s">
        <v>619</v>
      </c>
      <c r="D38" t="s">
        <v>217</v>
      </c>
      <c r="E38" t="s">
        <v>571</v>
      </c>
      <c r="F38" s="364">
        <v>2300</v>
      </c>
    </row>
    <row r="39" spans="2:6">
      <c r="B39" t="s">
        <v>620</v>
      </c>
      <c r="C39" s="204" t="s">
        <v>621</v>
      </c>
      <c r="D39" t="s">
        <v>538</v>
      </c>
      <c r="E39" t="s">
        <v>566</v>
      </c>
      <c r="F39" s="364">
        <v>1600</v>
      </c>
    </row>
    <row r="40" spans="2:6">
      <c r="B40" t="s">
        <v>601</v>
      </c>
      <c r="C40" s="204" t="s">
        <v>622</v>
      </c>
      <c r="D40" t="s">
        <v>57</v>
      </c>
      <c r="E40" t="s">
        <v>623</v>
      </c>
      <c r="F40">
        <v>470</v>
      </c>
    </row>
    <row r="41" spans="2:6">
      <c r="B41" t="s">
        <v>624</v>
      </c>
      <c r="C41" s="204" t="s">
        <v>625</v>
      </c>
      <c r="D41" t="s">
        <v>60</v>
      </c>
      <c r="E41" t="s">
        <v>566</v>
      </c>
      <c r="F41">
        <v>490</v>
      </c>
    </row>
    <row r="42" spans="2:6">
      <c r="B42" t="s">
        <v>626</v>
      </c>
      <c r="C42" s="204" t="s">
        <v>627</v>
      </c>
      <c r="D42" t="s">
        <v>58</v>
      </c>
      <c r="E42" t="s">
        <v>566</v>
      </c>
      <c r="F42">
        <v>600</v>
      </c>
    </row>
    <row r="43" spans="2:6">
      <c r="B43" t="s">
        <v>628</v>
      </c>
      <c r="C43" s="204" t="s">
        <v>629</v>
      </c>
      <c r="D43" t="s">
        <v>64</v>
      </c>
      <c r="E43" t="s">
        <v>630</v>
      </c>
      <c r="F43" s="364">
        <v>3500</v>
      </c>
    </row>
    <row r="44" spans="2:6">
      <c r="B44" t="s">
        <v>631</v>
      </c>
      <c r="C44" s="204" t="s">
        <v>632</v>
      </c>
      <c r="D44" t="s">
        <v>217</v>
      </c>
      <c r="E44" t="s">
        <v>566</v>
      </c>
      <c r="F44" s="364">
        <v>2800</v>
      </c>
    </row>
    <row r="45" spans="2:6">
      <c r="B45" t="s">
        <v>633</v>
      </c>
      <c r="C45" s="204" t="s">
        <v>634</v>
      </c>
      <c r="D45" t="s">
        <v>59</v>
      </c>
      <c r="E45" t="s">
        <v>603</v>
      </c>
      <c r="F45">
        <v>655</v>
      </c>
    </row>
    <row r="46" spans="2:6">
      <c r="B46" t="s">
        <v>635</v>
      </c>
      <c r="C46" s="204" t="s">
        <v>636</v>
      </c>
      <c r="D46" t="s">
        <v>60</v>
      </c>
      <c r="E46" t="s">
        <v>571</v>
      </c>
      <c r="F46" t="s">
        <v>637</v>
      </c>
    </row>
    <row r="47" spans="2:6">
      <c r="B47" t="s">
        <v>638</v>
      </c>
      <c r="C47" s="204" t="s">
        <v>639</v>
      </c>
      <c r="D47" t="s">
        <v>355</v>
      </c>
      <c r="E47" t="s">
        <v>566</v>
      </c>
      <c r="F47" s="364">
        <v>2500</v>
      </c>
    </row>
    <row r="48" spans="2:6">
      <c r="B48" t="s">
        <v>640</v>
      </c>
      <c r="C48" s="204" t="s">
        <v>641</v>
      </c>
      <c r="D48" t="s">
        <v>64</v>
      </c>
      <c r="E48" t="s">
        <v>566</v>
      </c>
      <c r="F48" s="364">
        <v>1000</v>
      </c>
    </row>
    <row r="49" spans="2:6">
      <c r="B49" t="s">
        <v>595</v>
      </c>
      <c r="C49" s="204" t="s">
        <v>642</v>
      </c>
      <c r="D49" t="s">
        <v>217</v>
      </c>
      <c r="E49" t="s">
        <v>566</v>
      </c>
      <c r="F49" s="364">
        <v>2800</v>
      </c>
    </row>
    <row r="50" spans="2:6">
      <c r="B50" t="s">
        <v>643</v>
      </c>
      <c r="C50" s="204" t="s">
        <v>644</v>
      </c>
      <c r="D50" t="s">
        <v>355</v>
      </c>
      <c r="E50" t="s">
        <v>645</v>
      </c>
      <c r="F50">
        <v>125</v>
      </c>
    </row>
    <row r="51" spans="2:6">
      <c r="B51" t="s">
        <v>646</v>
      </c>
      <c r="C51" s="204" t="s">
        <v>647</v>
      </c>
      <c r="D51" t="s">
        <v>69</v>
      </c>
      <c r="E51" t="s">
        <v>566</v>
      </c>
      <c r="F51">
        <v>350</v>
      </c>
    </row>
    <row r="52" spans="2:6">
      <c r="B52" t="s">
        <v>648</v>
      </c>
      <c r="C52" s="204" t="s">
        <v>649</v>
      </c>
      <c r="D52" t="s">
        <v>58</v>
      </c>
      <c r="E52" t="s">
        <v>578</v>
      </c>
      <c r="F52" s="364">
        <v>1157</v>
      </c>
    </row>
    <row r="53" spans="2:6">
      <c r="B53" t="s">
        <v>650</v>
      </c>
      <c r="C53" s="204" t="s">
        <v>651</v>
      </c>
      <c r="D53" t="s">
        <v>581</v>
      </c>
      <c r="E53" t="s">
        <v>652</v>
      </c>
      <c r="F53">
        <v>346</v>
      </c>
    </row>
    <row r="54" spans="2:6">
      <c r="B54" t="s">
        <v>653</v>
      </c>
      <c r="C54" s="204" t="s">
        <v>654</v>
      </c>
      <c r="D54" t="s">
        <v>66</v>
      </c>
      <c r="E54" t="s">
        <v>569</v>
      </c>
      <c r="F54">
        <v>850</v>
      </c>
    </row>
    <row r="55" spans="2:6">
      <c r="B55" t="s">
        <v>507</v>
      </c>
      <c r="C55" s="204" t="s">
        <v>655</v>
      </c>
      <c r="D55" t="s">
        <v>62</v>
      </c>
      <c r="E55" t="s">
        <v>656</v>
      </c>
      <c r="F55" t="s">
        <v>609</v>
      </c>
    </row>
    <row r="56" spans="2:6">
      <c r="B56" t="s">
        <v>657</v>
      </c>
      <c r="C56" s="204" t="s">
        <v>658</v>
      </c>
      <c r="D56" t="s">
        <v>217</v>
      </c>
      <c r="E56" t="s">
        <v>566</v>
      </c>
      <c r="F56">
        <v>90</v>
      </c>
    </row>
    <row r="57" spans="2:6">
      <c r="B57" t="s">
        <v>353</v>
      </c>
      <c r="C57" s="204" t="s">
        <v>659</v>
      </c>
      <c r="D57" t="s">
        <v>68</v>
      </c>
      <c r="E57" t="s">
        <v>660</v>
      </c>
      <c r="F57">
        <v>165</v>
      </c>
    </row>
    <row r="58" spans="2:6">
      <c r="B58" t="s">
        <v>553</v>
      </c>
      <c r="C58" s="204" t="s">
        <v>661</v>
      </c>
      <c r="D58" t="s">
        <v>217</v>
      </c>
      <c r="E58" t="s">
        <v>662</v>
      </c>
      <c r="F58" s="364">
        <v>1963</v>
      </c>
    </row>
    <row r="59" spans="2:6">
      <c r="B59" t="s">
        <v>663</v>
      </c>
      <c r="C59" s="204" t="s">
        <v>664</v>
      </c>
      <c r="D59" t="s">
        <v>217</v>
      </c>
      <c r="E59" t="s">
        <v>665</v>
      </c>
      <c r="F59" s="364">
        <v>1000</v>
      </c>
    </row>
    <row r="60" spans="2:6">
      <c r="B60" t="s">
        <v>666</v>
      </c>
      <c r="C60" s="204" t="s">
        <v>667</v>
      </c>
      <c r="D60" t="s">
        <v>68</v>
      </c>
      <c r="E60" t="s">
        <v>668</v>
      </c>
      <c r="F60">
        <v>300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AK98"/>
  <sheetViews>
    <sheetView tabSelected="1" workbookViewId="0">
      <selection activeCell="O54" sqref="O54"/>
    </sheetView>
  </sheetViews>
  <sheetFormatPr baseColWidth="10" defaultRowHeight="15"/>
  <cols>
    <col min="1" max="7" width="11.42578125" style="291"/>
    <col min="8" max="8" width="14.85546875" style="291" bestFit="1" customWidth="1"/>
    <col min="9" max="15" width="11.42578125" style="291"/>
    <col min="16" max="16" width="21.28515625" style="291" bestFit="1" customWidth="1"/>
    <col min="17" max="17" width="28.42578125" style="291" customWidth="1"/>
    <col min="18" max="18" width="11.42578125" style="291"/>
    <col min="19" max="19" width="17.5703125" style="291" bestFit="1" customWidth="1"/>
    <col min="20" max="20" width="15.7109375" style="364" bestFit="1" customWidth="1"/>
    <col min="21" max="21" width="11.42578125" style="291"/>
    <col min="22" max="22" width="12.5703125" style="291" bestFit="1" customWidth="1"/>
    <col min="23" max="24" width="11.42578125" style="291"/>
    <col min="25" max="25" width="18" style="291" bestFit="1" customWidth="1"/>
    <col min="26" max="26" width="7.7109375" style="364" bestFit="1" customWidth="1"/>
    <col min="27" max="263" width="11.42578125" style="291"/>
    <col min="264" max="264" width="14.85546875" style="291" bestFit="1" customWidth="1"/>
    <col min="265" max="271" width="11.42578125" style="291"/>
    <col min="272" max="272" width="21.28515625" style="291" bestFit="1" customWidth="1"/>
    <col min="273" max="273" width="28.42578125" style="291" customWidth="1"/>
    <col min="274" max="274" width="11.42578125" style="291"/>
    <col min="275" max="275" width="17.5703125" style="291" bestFit="1" customWidth="1"/>
    <col min="276" max="276" width="15.7109375" style="291" bestFit="1" customWidth="1"/>
    <col min="277" max="277" width="11.42578125" style="291"/>
    <col min="278" max="278" width="12.5703125" style="291" bestFit="1" customWidth="1"/>
    <col min="279" max="280" width="11.42578125" style="291"/>
    <col min="281" max="281" width="18" style="291" bestFit="1" customWidth="1"/>
    <col min="282" max="282" width="7.7109375" style="291" bestFit="1" customWidth="1"/>
    <col min="283" max="519" width="11.42578125" style="291"/>
    <col min="520" max="520" width="14.85546875" style="291" bestFit="1" customWidth="1"/>
    <col min="521" max="527" width="11.42578125" style="291"/>
    <col min="528" max="528" width="21.28515625" style="291" bestFit="1" customWidth="1"/>
    <col min="529" max="529" width="28.42578125" style="291" customWidth="1"/>
    <col min="530" max="530" width="11.42578125" style="291"/>
    <col min="531" max="531" width="17.5703125" style="291" bestFit="1" customWidth="1"/>
    <col min="532" max="532" width="15.7109375" style="291" bestFit="1" customWidth="1"/>
    <col min="533" max="533" width="11.42578125" style="291"/>
    <col min="534" max="534" width="12.5703125" style="291" bestFit="1" customWidth="1"/>
    <col min="535" max="536" width="11.42578125" style="291"/>
    <col min="537" max="537" width="18" style="291" bestFit="1" customWidth="1"/>
    <col min="538" max="538" width="7.7109375" style="291" bestFit="1" customWidth="1"/>
    <col min="539" max="775" width="11.42578125" style="291"/>
    <col min="776" max="776" width="14.85546875" style="291" bestFit="1" customWidth="1"/>
    <col min="777" max="783" width="11.42578125" style="291"/>
    <col min="784" max="784" width="21.28515625" style="291" bestFit="1" customWidth="1"/>
    <col min="785" max="785" width="28.42578125" style="291" customWidth="1"/>
    <col min="786" max="786" width="11.42578125" style="291"/>
    <col min="787" max="787" width="17.5703125" style="291" bestFit="1" customWidth="1"/>
    <col min="788" max="788" width="15.7109375" style="291" bestFit="1" customWidth="1"/>
    <col min="789" max="789" width="11.42578125" style="291"/>
    <col min="790" max="790" width="12.5703125" style="291" bestFit="1" customWidth="1"/>
    <col min="791" max="792" width="11.42578125" style="291"/>
    <col min="793" max="793" width="18" style="291" bestFit="1" customWidth="1"/>
    <col min="794" max="794" width="7.7109375" style="291" bestFit="1" customWidth="1"/>
    <col min="795" max="1031" width="11.42578125" style="291"/>
    <col min="1032" max="1032" width="14.85546875" style="291" bestFit="1" customWidth="1"/>
    <col min="1033" max="1039" width="11.42578125" style="291"/>
    <col min="1040" max="1040" width="21.28515625" style="291" bestFit="1" customWidth="1"/>
    <col min="1041" max="1041" width="28.42578125" style="291" customWidth="1"/>
    <col min="1042" max="1042" width="11.42578125" style="291"/>
    <col min="1043" max="1043" width="17.5703125" style="291" bestFit="1" customWidth="1"/>
    <col min="1044" max="1044" width="15.7109375" style="291" bestFit="1" customWidth="1"/>
    <col min="1045" max="1045" width="11.42578125" style="291"/>
    <col min="1046" max="1046" width="12.5703125" style="291" bestFit="1" customWidth="1"/>
    <col min="1047" max="1048" width="11.42578125" style="291"/>
    <col min="1049" max="1049" width="18" style="291" bestFit="1" customWidth="1"/>
    <col min="1050" max="1050" width="7.7109375" style="291" bestFit="1" customWidth="1"/>
    <col min="1051" max="1287" width="11.42578125" style="291"/>
    <col min="1288" max="1288" width="14.85546875" style="291" bestFit="1" customWidth="1"/>
    <col min="1289" max="1295" width="11.42578125" style="291"/>
    <col min="1296" max="1296" width="21.28515625" style="291" bestFit="1" customWidth="1"/>
    <col min="1297" max="1297" width="28.42578125" style="291" customWidth="1"/>
    <col min="1298" max="1298" width="11.42578125" style="291"/>
    <col min="1299" max="1299" width="17.5703125" style="291" bestFit="1" customWidth="1"/>
    <col min="1300" max="1300" width="15.7109375" style="291" bestFit="1" customWidth="1"/>
    <col min="1301" max="1301" width="11.42578125" style="291"/>
    <col min="1302" max="1302" width="12.5703125" style="291" bestFit="1" customWidth="1"/>
    <col min="1303" max="1304" width="11.42578125" style="291"/>
    <col min="1305" max="1305" width="18" style="291" bestFit="1" customWidth="1"/>
    <col min="1306" max="1306" width="7.7109375" style="291" bestFit="1" customWidth="1"/>
    <col min="1307" max="1543" width="11.42578125" style="291"/>
    <col min="1544" max="1544" width="14.85546875" style="291" bestFit="1" customWidth="1"/>
    <col min="1545" max="1551" width="11.42578125" style="291"/>
    <col min="1552" max="1552" width="21.28515625" style="291" bestFit="1" customWidth="1"/>
    <col min="1553" max="1553" width="28.42578125" style="291" customWidth="1"/>
    <col min="1554" max="1554" width="11.42578125" style="291"/>
    <col min="1555" max="1555" width="17.5703125" style="291" bestFit="1" customWidth="1"/>
    <col min="1556" max="1556" width="15.7109375" style="291" bestFit="1" customWidth="1"/>
    <col min="1557" max="1557" width="11.42578125" style="291"/>
    <col min="1558" max="1558" width="12.5703125" style="291" bestFit="1" customWidth="1"/>
    <col min="1559" max="1560" width="11.42578125" style="291"/>
    <col min="1561" max="1561" width="18" style="291" bestFit="1" customWidth="1"/>
    <col min="1562" max="1562" width="7.7109375" style="291" bestFit="1" customWidth="1"/>
    <col min="1563" max="1799" width="11.42578125" style="291"/>
    <col min="1800" max="1800" width="14.85546875" style="291" bestFit="1" customWidth="1"/>
    <col min="1801" max="1807" width="11.42578125" style="291"/>
    <col min="1808" max="1808" width="21.28515625" style="291" bestFit="1" customWidth="1"/>
    <col min="1809" max="1809" width="28.42578125" style="291" customWidth="1"/>
    <col min="1810" max="1810" width="11.42578125" style="291"/>
    <col min="1811" max="1811" width="17.5703125" style="291" bestFit="1" customWidth="1"/>
    <col min="1812" max="1812" width="15.7109375" style="291" bestFit="1" customWidth="1"/>
    <col min="1813" max="1813" width="11.42578125" style="291"/>
    <col min="1814" max="1814" width="12.5703125" style="291" bestFit="1" customWidth="1"/>
    <col min="1815" max="1816" width="11.42578125" style="291"/>
    <col min="1817" max="1817" width="18" style="291" bestFit="1" customWidth="1"/>
    <col min="1818" max="1818" width="7.7109375" style="291" bestFit="1" customWidth="1"/>
    <col min="1819" max="2055" width="11.42578125" style="291"/>
    <col min="2056" max="2056" width="14.85546875" style="291" bestFit="1" customWidth="1"/>
    <col min="2057" max="2063" width="11.42578125" style="291"/>
    <col min="2064" max="2064" width="21.28515625" style="291" bestFit="1" customWidth="1"/>
    <col min="2065" max="2065" width="28.42578125" style="291" customWidth="1"/>
    <col min="2066" max="2066" width="11.42578125" style="291"/>
    <col min="2067" max="2067" width="17.5703125" style="291" bestFit="1" customWidth="1"/>
    <col min="2068" max="2068" width="15.7109375" style="291" bestFit="1" customWidth="1"/>
    <col min="2069" max="2069" width="11.42578125" style="291"/>
    <col min="2070" max="2070" width="12.5703125" style="291" bestFit="1" customWidth="1"/>
    <col min="2071" max="2072" width="11.42578125" style="291"/>
    <col min="2073" max="2073" width="18" style="291" bestFit="1" customWidth="1"/>
    <col min="2074" max="2074" width="7.7109375" style="291" bestFit="1" customWidth="1"/>
    <col min="2075" max="2311" width="11.42578125" style="291"/>
    <col min="2312" max="2312" width="14.85546875" style="291" bestFit="1" customWidth="1"/>
    <col min="2313" max="2319" width="11.42578125" style="291"/>
    <col min="2320" max="2320" width="21.28515625" style="291" bestFit="1" customWidth="1"/>
    <col min="2321" max="2321" width="28.42578125" style="291" customWidth="1"/>
    <col min="2322" max="2322" width="11.42578125" style="291"/>
    <col min="2323" max="2323" width="17.5703125" style="291" bestFit="1" customWidth="1"/>
    <col min="2324" max="2324" width="15.7109375" style="291" bestFit="1" customWidth="1"/>
    <col min="2325" max="2325" width="11.42578125" style="291"/>
    <col min="2326" max="2326" width="12.5703125" style="291" bestFit="1" customWidth="1"/>
    <col min="2327" max="2328" width="11.42578125" style="291"/>
    <col min="2329" max="2329" width="18" style="291" bestFit="1" customWidth="1"/>
    <col min="2330" max="2330" width="7.7109375" style="291" bestFit="1" customWidth="1"/>
    <col min="2331" max="2567" width="11.42578125" style="291"/>
    <col min="2568" max="2568" width="14.85546875" style="291" bestFit="1" customWidth="1"/>
    <col min="2569" max="2575" width="11.42578125" style="291"/>
    <col min="2576" max="2576" width="21.28515625" style="291" bestFit="1" customWidth="1"/>
    <col min="2577" max="2577" width="28.42578125" style="291" customWidth="1"/>
    <col min="2578" max="2578" width="11.42578125" style="291"/>
    <col min="2579" max="2579" width="17.5703125" style="291" bestFit="1" customWidth="1"/>
    <col min="2580" max="2580" width="15.7109375" style="291" bestFit="1" customWidth="1"/>
    <col min="2581" max="2581" width="11.42578125" style="291"/>
    <col min="2582" max="2582" width="12.5703125" style="291" bestFit="1" customWidth="1"/>
    <col min="2583" max="2584" width="11.42578125" style="291"/>
    <col min="2585" max="2585" width="18" style="291" bestFit="1" customWidth="1"/>
    <col min="2586" max="2586" width="7.7109375" style="291" bestFit="1" customWidth="1"/>
    <col min="2587" max="2823" width="11.42578125" style="291"/>
    <col min="2824" max="2824" width="14.85546875" style="291" bestFit="1" customWidth="1"/>
    <col min="2825" max="2831" width="11.42578125" style="291"/>
    <col min="2832" max="2832" width="21.28515625" style="291" bestFit="1" customWidth="1"/>
    <col min="2833" max="2833" width="28.42578125" style="291" customWidth="1"/>
    <col min="2834" max="2834" width="11.42578125" style="291"/>
    <col min="2835" max="2835" width="17.5703125" style="291" bestFit="1" customWidth="1"/>
    <col min="2836" max="2836" width="15.7109375" style="291" bestFit="1" customWidth="1"/>
    <col min="2837" max="2837" width="11.42578125" style="291"/>
    <col min="2838" max="2838" width="12.5703125" style="291" bestFit="1" customWidth="1"/>
    <col min="2839" max="2840" width="11.42578125" style="291"/>
    <col min="2841" max="2841" width="18" style="291" bestFit="1" customWidth="1"/>
    <col min="2842" max="2842" width="7.7109375" style="291" bestFit="1" customWidth="1"/>
    <col min="2843" max="3079" width="11.42578125" style="291"/>
    <col min="3080" max="3080" width="14.85546875" style="291" bestFit="1" customWidth="1"/>
    <col min="3081" max="3087" width="11.42578125" style="291"/>
    <col min="3088" max="3088" width="21.28515625" style="291" bestFit="1" customWidth="1"/>
    <col min="3089" max="3089" width="28.42578125" style="291" customWidth="1"/>
    <col min="3090" max="3090" width="11.42578125" style="291"/>
    <col min="3091" max="3091" width="17.5703125" style="291" bestFit="1" customWidth="1"/>
    <col min="3092" max="3092" width="15.7109375" style="291" bestFit="1" customWidth="1"/>
    <col min="3093" max="3093" width="11.42578125" style="291"/>
    <col min="3094" max="3094" width="12.5703125" style="291" bestFit="1" customWidth="1"/>
    <col min="3095" max="3096" width="11.42578125" style="291"/>
    <col min="3097" max="3097" width="18" style="291" bestFit="1" customWidth="1"/>
    <col min="3098" max="3098" width="7.7109375" style="291" bestFit="1" customWidth="1"/>
    <col min="3099" max="3335" width="11.42578125" style="291"/>
    <col min="3336" max="3336" width="14.85546875" style="291" bestFit="1" customWidth="1"/>
    <col min="3337" max="3343" width="11.42578125" style="291"/>
    <col min="3344" max="3344" width="21.28515625" style="291" bestFit="1" customWidth="1"/>
    <col min="3345" max="3345" width="28.42578125" style="291" customWidth="1"/>
    <col min="3346" max="3346" width="11.42578125" style="291"/>
    <col min="3347" max="3347" width="17.5703125" style="291" bestFit="1" customWidth="1"/>
    <col min="3348" max="3348" width="15.7109375" style="291" bestFit="1" customWidth="1"/>
    <col min="3349" max="3349" width="11.42578125" style="291"/>
    <col min="3350" max="3350" width="12.5703125" style="291" bestFit="1" customWidth="1"/>
    <col min="3351" max="3352" width="11.42578125" style="291"/>
    <col min="3353" max="3353" width="18" style="291" bestFit="1" customWidth="1"/>
    <col min="3354" max="3354" width="7.7109375" style="291" bestFit="1" customWidth="1"/>
    <col min="3355" max="3591" width="11.42578125" style="291"/>
    <col min="3592" max="3592" width="14.85546875" style="291" bestFit="1" customWidth="1"/>
    <col min="3593" max="3599" width="11.42578125" style="291"/>
    <col min="3600" max="3600" width="21.28515625" style="291" bestFit="1" customWidth="1"/>
    <col min="3601" max="3601" width="28.42578125" style="291" customWidth="1"/>
    <col min="3602" max="3602" width="11.42578125" style="291"/>
    <col min="3603" max="3603" width="17.5703125" style="291" bestFit="1" customWidth="1"/>
    <col min="3604" max="3604" width="15.7109375" style="291" bestFit="1" customWidth="1"/>
    <col min="3605" max="3605" width="11.42578125" style="291"/>
    <col min="3606" max="3606" width="12.5703125" style="291" bestFit="1" customWidth="1"/>
    <col min="3607" max="3608" width="11.42578125" style="291"/>
    <col min="3609" max="3609" width="18" style="291" bestFit="1" customWidth="1"/>
    <col min="3610" max="3610" width="7.7109375" style="291" bestFit="1" customWidth="1"/>
    <col min="3611" max="3847" width="11.42578125" style="291"/>
    <col min="3848" max="3848" width="14.85546875" style="291" bestFit="1" customWidth="1"/>
    <col min="3849" max="3855" width="11.42578125" style="291"/>
    <col min="3856" max="3856" width="21.28515625" style="291" bestFit="1" customWidth="1"/>
    <col min="3857" max="3857" width="28.42578125" style="291" customWidth="1"/>
    <col min="3858" max="3858" width="11.42578125" style="291"/>
    <col min="3859" max="3859" width="17.5703125" style="291" bestFit="1" customWidth="1"/>
    <col min="3860" max="3860" width="15.7109375" style="291" bestFit="1" customWidth="1"/>
    <col min="3861" max="3861" width="11.42578125" style="291"/>
    <col min="3862" max="3862" width="12.5703125" style="291" bestFit="1" customWidth="1"/>
    <col min="3863" max="3864" width="11.42578125" style="291"/>
    <col min="3865" max="3865" width="18" style="291" bestFit="1" customWidth="1"/>
    <col min="3866" max="3866" width="7.7109375" style="291" bestFit="1" customWidth="1"/>
    <col min="3867" max="4103" width="11.42578125" style="291"/>
    <col min="4104" max="4104" width="14.85546875" style="291" bestFit="1" customWidth="1"/>
    <col min="4105" max="4111" width="11.42578125" style="291"/>
    <col min="4112" max="4112" width="21.28515625" style="291" bestFit="1" customWidth="1"/>
    <col min="4113" max="4113" width="28.42578125" style="291" customWidth="1"/>
    <col min="4114" max="4114" width="11.42578125" style="291"/>
    <col min="4115" max="4115" width="17.5703125" style="291" bestFit="1" customWidth="1"/>
    <col min="4116" max="4116" width="15.7109375" style="291" bestFit="1" customWidth="1"/>
    <col min="4117" max="4117" width="11.42578125" style="291"/>
    <col min="4118" max="4118" width="12.5703125" style="291" bestFit="1" customWidth="1"/>
    <col min="4119" max="4120" width="11.42578125" style="291"/>
    <col min="4121" max="4121" width="18" style="291" bestFit="1" customWidth="1"/>
    <col min="4122" max="4122" width="7.7109375" style="291" bestFit="1" customWidth="1"/>
    <col min="4123" max="4359" width="11.42578125" style="291"/>
    <col min="4360" max="4360" width="14.85546875" style="291" bestFit="1" customWidth="1"/>
    <col min="4361" max="4367" width="11.42578125" style="291"/>
    <col min="4368" max="4368" width="21.28515625" style="291" bestFit="1" customWidth="1"/>
    <col min="4369" max="4369" width="28.42578125" style="291" customWidth="1"/>
    <col min="4370" max="4370" width="11.42578125" style="291"/>
    <col min="4371" max="4371" width="17.5703125" style="291" bestFit="1" customWidth="1"/>
    <col min="4372" max="4372" width="15.7109375" style="291" bestFit="1" customWidth="1"/>
    <col min="4373" max="4373" width="11.42578125" style="291"/>
    <col min="4374" max="4374" width="12.5703125" style="291" bestFit="1" customWidth="1"/>
    <col min="4375" max="4376" width="11.42578125" style="291"/>
    <col min="4377" max="4377" width="18" style="291" bestFit="1" customWidth="1"/>
    <col min="4378" max="4378" width="7.7109375" style="291" bestFit="1" customWidth="1"/>
    <col min="4379" max="4615" width="11.42578125" style="291"/>
    <col min="4616" max="4616" width="14.85546875" style="291" bestFit="1" customWidth="1"/>
    <col min="4617" max="4623" width="11.42578125" style="291"/>
    <col min="4624" max="4624" width="21.28515625" style="291" bestFit="1" customWidth="1"/>
    <col min="4625" max="4625" width="28.42578125" style="291" customWidth="1"/>
    <col min="4626" max="4626" width="11.42578125" style="291"/>
    <col min="4627" max="4627" width="17.5703125" style="291" bestFit="1" customWidth="1"/>
    <col min="4628" max="4628" width="15.7109375" style="291" bestFit="1" customWidth="1"/>
    <col min="4629" max="4629" width="11.42578125" style="291"/>
    <col min="4630" max="4630" width="12.5703125" style="291" bestFit="1" customWidth="1"/>
    <col min="4631" max="4632" width="11.42578125" style="291"/>
    <col min="4633" max="4633" width="18" style="291" bestFit="1" customWidth="1"/>
    <col min="4634" max="4634" width="7.7109375" style="291" bestFit="1" customWidth="1"/>
    <col min="4635" max="4871" width="11.42578125" style="291"/>
    <col min="4872" max="4872" width="14.85546875" style="291" bestFit="1" customWidth="1"/>
    <col min="4873" max="4879" width="11.42578125" style="291"/>
    <col min="4880" max="4880" width="21.28515625" style="291" bestFit="1" customWidth="1"/>
    <col min="4881" max="4881" width="28.42578125" style="291" customWidth="1"/>
    <col min="4882" max="4882" width="11.42578125" style="291"/>
    <col min="4883" max="4883" width="17.5703125" style="291" bestFit="1" customWidth="1"/>
    <col min="4884" max="4884" width="15.7109375" style="291" bestFit="1" customWidth="1"/>
    <col min="4885" max="4885" width="11.42578125" style="291"/>
    <col min="4886" max="4886" width="12.5703125" style="291" bestFit="1" customWidth="1"/>
    <col min="4887" max="4888" width="11.42578125" style="291"/>
    <col min="4889" max="4889" width="18" style="291" bestFit="1" customWidth="1"/>
    <col min="4890" max="4890" width="7.7109375" style="291" bestFit="1" customWidth="1"/>
    <col min="4891" max="5127" width="11.42578125" style="291"/>
    <col min="5128" max="5128" width="14.85546875" style="291" bestFit="1" customWidth="1"/>
    <col min="5129" max="5135" width="11.42578125" style="291"/>
    <col min="5136" max="5136" width="21.28515625" style="291" bestFit="1" customWidth="1"/>
    <col min="5137" max="5137" width="28.42578125" style="291" customWidth="1"/>
    <col min="5138" max="5138" width="11.42578125" style="291"/>
    <col min="5139" max="5139" width="17.5703125" style="291" bestFit="1" customWidth="1"/>
    <col min="5140" max="5140" width="15.7109375" style="291" bestFit="1" customWidth="1"/>
    <col min="5141" max="5141" width="11.42578125" style="291"/>
    <col min="5142" max="5142" width="12.5703125" style="291" bestFit="1" customWidth="1"/>
    <col min="5143" max="5144" width="11.42578125" style="291"/>
    <col min="5145" max="5145" width="18" style="291" bestFit="1" customWidth="1"/>
    <col min="5146" max="5146" width="7.7109375" style="291" bestFit="1" customWidth="1"/>
    <col min="5147" max="5383" width="11.42578125" style="291"/>
    <col min="5384" max="5384" width="14.85546875" style="291" bestFit="1" customWidth="1"/>
    <col min="5385" max="5391" width="11.42578125" style="291"/>
    <col min="5392" max="5392" width="21.28515625" style="291" bestFit="1" customWidth="1"/>
    <col min="5393" max="5393" width="28.42578125" style="291" customWidth="1"/>
    <col min="5394" max="5394" width="11.42578125" style="291"/>
    <col min="5395" max="5395" width="17.5703125" style="291" bestFit="1" customWidth="1"/>
    <col min="5396" max="5396" width="15.7109375" style="291" bestFit="1" customWidth="1"/>
    <col min="5397" max="5397" width="11.42578125" style="291"/>
    <col min="5398" max="5398" width="12.5703125" style="291" bestFit="1" customWidth="1"/>
    <col min="5399" max="5400" width="11.42578125" style="291"/>
    <col min="5401" max="5401" width="18" style="291" bestFit="1" customWidth="1"/>
    <col min="5402" max="5402" width="7.7109375" style="291" bestFit="1" customWidth="1"/>
    <col min="5403" max="5639" width="11.42578125" style="291"/>
    <col min="5640" max="5640" width="14.85546875" style="291" bestFit="1" customWidth="1"/>
    <col min="5641" max="5647" width="11.42578125" style="291"/>
    <col min="5648" max="5648" width="21.28515625" style="291" bestFit="1" customWidth="1"/>
    <col min="5649" max="5649" width="28.42578125" style="291" customWidth="1"/>
    <col min="5650" max="5650" width="11.42578125" style="291"/>
    <col min="5651" max="5651" width="17.5703125" style="291" bestFit="1" customWidth="1"/>
    <col min="5652" max="5652" width="15.7109375" style="291" bestFit="1" customWidth="1"/>
    <col min="5653" max="5653" width="11.42578125" style="291"/>
    <col min="5654" max="5654" width="12.5703125" style="291" bestFit="1" customWidth="1"/>
    <col min="5655" max="5656" width="11.42578125" style="291"/>
    <col min="5657" max="5657" width="18" style="291" bestFit="1" customWidth="1"/>
    <col min="5658" max="5658" width="7.7109375" style="291" bestFit="1" customWidth="1"/>
    <col min="5659" max="5895" width="11.42578125" style="291"/>
    <col min="5896" max="5896" width="14.85546875" style="291" bestFit="1" customWidth="1"/>
    <col min="5897" max="5903" width="11.42578125" style="291"/>
    <col min="5904" max="5904" width="21.28515625" style="291" bestFit="1" customWidth="1"/>
    <col min="5905" max="5905" width="28.42578125" style="291" customWidth="1"/>
    <col min="5906" max="5906" width="11.42578125" style="291"/>
    <col min="5907" max="5907" width="17.5703125" style="291" bestFit="1" customWidth="1"/>
    <col min="5908" max="5908" width="15.7109375" style="291" bestFit="1" customWidth="1"/>
    <col min="5909" max="5909" width="11.42578125" style="291"/>
    <col min="5910" max="5910" width="12.5703125" style="291" bestFit="1" customWidth="1"/>
    <col min="5911" max="5912" width="11.42578125" style="291"/>
    <col min="5913" max="5913" width="18" style="291" bestFit="1" customWidth="1"/>
    <col min="5914" max="5914" width="7.7109375" style="291" bestFit="1" customWidth="1"/>
    <col min="5915" max="6151" width="11.42578125" style="291"/>
    <col min="6152" max="6152" width="14.85546875" style="291" bestFit="1" customWidth="1"/>
    <col min="6153" max="6159" width="11.42578125" style="291"/>
    <col min="6160" max="6160" width="21.28515625" style="291" bestFit="1" customWidth="1"/>
    <col min="6161" max="6161" width="28.42578125" style="291" customWidth="1"/>
    <col min="6162" max="6162" width="11.42578125" style="291"/>
    <col min="6163" max="6163" width="17.5703125" style="291" bestFit="1" customWidth="1"/>
    <col min="6164" max="6164" width="15.7109375" style="291" bestFit="1" customWidth="1"/>
    <col min="6165" max="6165" width="11.42578125" style="291"/>
    <col min="6166" max="6166" width="12.5703125" style="291" bestFit="1" customWidth="1"/>
    <col min="6167" max="6168" width="11.42578125" style="291"/>
    <col min="6169" max="6169" width="18" style="291" bestFit="1" customWidth="1"/>
    <col min="6170" max="6170" width="7.7109375" style="291" bestFit="1" customWidth="1"/>
    <col min="6171" max="6407" width="11.42578125" style="291"/>
    <col min="6408" max="6408" width="14.85546875" style="291" bestFit="1" customWidth="1"/>
    <col min="6409" max="6415" width="11.42578125" style="291"/>
    <col min="6416" max="6416" width="21.28515625" style="291" bestFit="1" customWidth="1"/>
    <col min="6417" max="6417" width="28.42578125" style="291" customWidth="1"/>
    <col min="6418" max="6418" width="11.42578125" style="291"/>
    <col min="6419" max="6419" width="17.5703125" style="291" bestFit="1" customWidth="1"/>
    <col min="6420" max="6420" width="15.7109375" style="291" bestFit="1" customWidth="1"/>
    <col min="6421" max="6421" width="11.42578125" style="291"/>
    <col min="6422" max="6422" width="12.5703125" style="291" bestFit="1" customWidth="1"/>
    <col min="6423" max="6424" width="11.42578125" style="291"/>
    <col min="6425" max="6425" width="18" style="291" bestFit="1" customWidth="1"/>
    <col min="6426" max="6426" width="7.7109375" style="291" bestFit="1" customWidth="1"/>
    <col min="6427" max="6663" width="11.42578125" style="291"/>
    <col min="6664" max="6664" width="14.85546875" style="291" bestFit="1" customWidth="1"/>
    <col min="6665" max="6671" width="11.42578125" style="291"/>
    <col min="6672" max="6672" width="21.28515625" style="291" bestFit="1" customWidth="1"/>
    <col min="6673" max="6673" width="28.42578125" style="291" customWidth="1"/>
    <col min="6674" max="6674" width="11.42578125" style="291"/>
    <col min="6675" max="6675" width="17.5703125" style="291" bestFit="1" customWidth="1"/>
    <col min="6676" max="6676" width="15.7109375" style="291" bestFit="1" customWidth="1"/>
    <col min="6677" max="6677" width="11.42578125" style="291"/>
    <col min="6678" max="6678" width="12.5703125" style="291" bestFit="1" customWidth="1"/>
    <col min="6679" max="6680" width="11.42578125" style="291"/>
    <col min="6681" max="6681" width="18" style="291" bestFit="1" customWidth="1"/>
    <col min="6682" max="6682" width="7.7109375" style="291" bestFit="1" customWidth="1"/>
    <col min="6683" max="6919" width="11.42578125" style="291"/>
    <col min="6920" max="6920" width="14.85546875" style="291" bestFit="1" customWidth="1"/>
    <col min="6921" max="6927" width="11.42578125" style="291"/>
    <col min="6928" max="6928" width="21.28515625" style="291" bestFit="1" customWidth="1"/>
    <col min="6929" max="6929" width="28.42578125" style="291" customWidth="1"/>
    <col min="6930" max="6930" width="11.42578125" style="291"/>
    <col min="6931" max="6931" width="17.5703125" style="291" bestFit="1" customWidth="1"/>
    <col min="6932" max="6932" width="15.7109375" style="291" bestFit="1" customWidth="1"/>
    <col min="6933" max="6933" width="11.42578125" style="291"/>
    <col min="6934" max="6934" width="12.5703125" style="291" bestFit="1" customWidth="1"/>
    <col min="6935" max="6936" width="11.42578125" style="291"/>
    <col min="6937" max="6937" width="18" style="291" bestFit="1" customWidth="1"/>
    <col min="6938" max="6938" width="7.7109375" style="291" bestFit="1" customWidth="1"/>
    <col min="6939" max="7175" width="11.42578125" style="291"/>
    <col min="7176" max="7176" width="14.85546875" style="291" bestFit="1" customWidth="1"/>
    <col min="7177" max="7183" width="11.42578125" style="291"/>
    <col min="7184" max="7184" width="21.28515625" style="291" bestFit="1" customWidth="1"/>
    <col min="7185" max="7185" width="28.42578125" style="291" customWidth="1"/>
    <col min="7186" max="7186" width="11.42578125" style="291"/>
    <col min="7187" max="7187" width="17.5703125" style="291" bestFit="1" customWidth="1"/>
    <col min="7188" max="7188" width="15.7109375" style="291" bestFit="1" customWidth="1"/>
    <col min="7189" max="7189" width="11.42578125" style="291"/>
    <col min="7190" max="7190" width="12.5703125" style="291" bestFit="1" customWidth="1"/>
    <col min="7191" max="7192" width="11.42578125" style="291"/>
    <col min="7193" max="7193" width="18" style="291" bestFit="1" customWidth="1"/>
    <col min="7194" max="7194" width="7.7109375" style="291" bestFit="1" customWidth="1"/>
    <col min="7195" max="7431" width="11.42578125" style="291"/>
    <col min="7432" max="7432" width="14.85546875" style="291" bestFit="1" customWidth="1"/>
    <col min="7433" max="7439" width="11.42578125" style="291"/>
    <col min="7440" max="7440" width="21.28515625" style="291" bestFit="1" customWidth="1"/>
    <col min="7441" max="7441" width="28.42578125" style="291" customWidth="1"/>
    <col min="7442" max="7442" width="11.42578125" style="291"/>
    <col min="7443" max="7443" width="17.5703125" style="291" bestFit="1" customWidth="1"/>
    <col min="7444" max="7444" width="15.7109375" style="291" bestFit="1" customWidth="1"/>
    <col min="7445" max="7445" width="11.42578125" style="291"/>
    <col min="7446" max="7446" width="12.5703125" style="291" bestFit="1" customWidth="1"/>
    <col min="7447" max="7448" width="11.42578125" style="291"/>
    <col min="7449" max="7449" width="18" style="291" bestFit="1" customWidth="1"/>
    <col min="7450" max="7450" width="7.7109375" style="291" bestFit="1" customWidth="1"/>
    <col min="7451" max="7687" width="11.42578125" style="291"/>
    <col min="7688" max="7688" width="14.85546875" style="291" bestFit="1" customWidth="1"/>
    <col min="7689" max="7695" width="11.42578125" style="291"/>
    <col min="7696" max="7696" width="21.28515625" style="291" bestFit="1" customWidth="1"/>
    <col min="7697" max="7697" width="28.42578125" style="291" customWidth="1"/>
    <col min="7698" max="7698" width="11.42578125" style="291"/>
    <col min="7699" max="7699" width="17.5703125" style="291" bestFit="1" customWidth="1"/>
    <col min="7700" max="7700" width="15.7109375" style="291" bestFit="1" customWidth="1"/>
    <col min="7701" max="7701" width="11.42578125" style="291"/>
    <col min="7702" max="7702" width="12.5703125" style="291" bestFit="1" customWidth="1"/>
    <col min="7703" max="7704" width="11.42578125" style="291"/>
    <col min="7705" max="7705" width="18" style="291" bestFit="1" customWidth="1"/>
    <col min="7706" max="7706" width="7.7109375" style="291" bestFit="1" customWidth="1"/>
    <col min="7707" max="7943" width="11.42578125" style="291"/>
    <col min="7944" max="7944" width="14.85546875" style="291" bestFit="1" customWidth="1"/>
    <col min="7945" max="7951" width="11.42578125" style="291"/>
    <col min="7952" max="7952" width="21.28515625" style="291" bestFit="1" customWidth="1"/>
    <col min="7953" max="7953" width="28.42578125" style="291" customWidth="1"/>
    <col min="7954" max="7954" width="11.42578125" style="291"/>
    <col min="7955" max="7955" width="17.5703125" style="291" bestFit="1" customWidth="1"/>
    <col min="7956" max="7956" width="15.7109375" style="291" bestFit="1" customWidth="1"/>
    <col min="7957" max="7957" width="11.42578125" style="291"/>
    <col min="7958" max="7958" width="12.5703125" style="291" bestFit="1" customWidth="1"/>
    <col min="7959" max="7960" width="11.42578125" style="291"/>
    <col min="7961" max="7961" width="18" style="291" bestFit="1" customWidth="1"/>
    <col min="7962" max="7962" width="7.7109375" style="291" bestFit="1" customWidth="1"/>
    <col min="7963" max="8199" width="11.42578125" style="291"/>
    <col min="8200" max="8200" width="14.85546875" style="291" bestFit="1" customWidth="1"/>
    <col min="8201" max="8207" width="11.42578125" style="291"/>
    <col min="8208" max="8208" width="21.28515625" style="291" bestFit="1" customWidth="1"/>
    <col min="8209" max="8209" width="28.42578125" style="291" customWidth="1"/>
    <col min="8210" max="8210" width="11.42578125" style="291"/>
    <col min="8211" max="8211" width="17.5703125" style="291" bestFit="1" customWidth="1"/>
    <col min="8212" max="8212" width="15.7109375" style="291" bestFit="1" customWidth="1"/>
    <col min="8213" max="8213" width="11.42578125" style="291"/>
    <col min="8214" max="8214" width="12.5703125" style="291" bestFit="1" customWidth="1"/>
    <col min="8215" max="8216" width="11.42578125" style="291"/>
    <col min="8217" max="8217" width="18" style="291" bestFit="1" customWidth="1"/>
    <col min="8218" max="8218" width="7.7109375" style="291" bestFit="1" customWidth="1"/>
    <col min="8219" max="8455" width="11.42578125" style="291"/>
    <col min="8456" max="8456" width="14.85546875" style="291" bestFit="1" customWidth="1"/>
    <col min="8457" max="8463" width="11.42578125" style="291"/>
    <col min="8464" max="8464" width="21.28515625" style="291" bestFit="1" customWidth="1"/>
    <col min="8465" max="8465" width="28.42578125" style="291" customWidth="1"/>
    <col min="8466" max="8466" width="11.42578125" style="291"/>
    <col min="8467" max="8467" width="17.5703125" style="291" bestFit="1" customWidth="1"/>
    <col min="8468" max="8468" width="15.7109375" style="291" bestFit="1" customWidth="1"/>
    <col min="8469" max="8469" width="11.42578125" style="291"/>
    <col min="8470" max="8470" width="12.5703125" style="291" bestFit="1" customWidth="1"/>
    <col min="8471" max="8472" width="11.42578125" style="291"/>
    <col min="8473" max="8473" width="18" style="291" bestFit="1" customWidth="1"/>
    <col min="8474" max="8474" width="7.7109375" style="291" bestFit="1" customWidth="1"/>
    <col min="8475" max="8711" width="11.42578125" style="291"/>
    <col min="8712" max="8712" width="14.85546875" style="291" bestFit="1" customWidth="1"/>
    <col min="8713" max="8719" width="11.42578125" style="291"/>
    <col min="8720" max="8720" width="21.28515625" style="291" bestFit="1" customWidth="1"/>
    <col min="8721" max="8721" width="28.42578125" style="291" customWidth="1"/>
    <col min="8722" max="8722" width="11.42578125" style="291"/>
    <col min="8723" max="8723" width="17.5703125" style="291" bestFit="1" customWidth="1"/>
    <col min="8724" max="8724" width="15.7109375" style="291" bestFit="1" customWidth="1"/>
    <col min="8725" max="8725" width="11.42578125" style="291"/>
    <col min="8726" max="8726" width="12.5703125" style="291" bestFit="1" customWidth="1"/>
    <col min="8727" max="8728" width="11.42578125" style="291"/>
    <col min="8729" max="8729" width="18" style="291" bestFit="1" customWidth="1"/>
    <col min="8730" max="8730" width="7.7109375" style="291" bestFit="1" customWidth="1"/>
    <col min="8731" max="8967" width="11.42578125" style="291"/>
    <col min="8968" max="8968" width="14.85546875" style="291" bestFit="1" customWidth="1"/>
    <col min="8969" max="8975" width="11.42578125" style="291"/>
    <col min="8976" max="8976" width="21.28515625" style="291" bestFit="1" customWidth="1"/>
    <col min="8977" max="8977" width="28.42578125" style="291" customWidth="1"/>
    <col min="8978" max="8978" width="11.42578125" style="291"/>
    <col min="8979" max="8979" width="17.5703125" style="291" bestFit="1" customWidth="1"/>
    <col min="8980" max="8980" width="15.7109375" style="291" bestFit="1" customWidth="1"/>
    <col min="8981" max="8981" width="11.42578125" style="291"/>
    <col min="8982" max="8982" width="12.5703125" style="291" bestFit="1" customWidth="1"/>
    <col min="8983" max="8984" width="11.42578125" style="291"/>
    <col min="8985" max="8985" width="18" style="291" bestFit="1" customWidth="1"/>
    <col min="8986" max="8986" width="7.7109375" style="291" bestFit="1" customWidth="1"/>
    <col min="8987" max="9223" width="11.42578125" style="291"/>
    <col min="9224" max="9224" width="14.85546875" style="291" bestFit="1" customWidth="1"/>
    <col min="9225" max="9231" width="11.42578125" style="291"/>
    <col min="9232" max="9232" width="21.28515625" style="291" bestFit="1" customWidth="1"/>
    <col min="9233" max="9233" width="28.42578125" style="291" customWidth="1"/>
    <col min="9234" max="9234" width="11.42578125" style="291"/>
    <col min="9235" max="9235" width="17.5703125" style="291" bestFit="1" customWidth="1"/>
    <col min="9236" max="9236" width="15.7109375" style="291" bestFit="1" customWidth="1"/>
    <col min="9237" max="9237" width="11.42578125" style="291"/>
    <col min="9238" max="9238" width="12.5703125" style="291" bestFit="1" customWidth="1"/>
    <col min="9239" max="9240" width="11.42578125" style="291"/>
    <col min="9241" max="9241" width="18" style="291" bestFit="1" customWidth="1"/>
    <col min="9242" max="9242" width="7.7109375" style="291" bestFit="1" customWidth="1"/>
    <col min="9243" max="9479" width="11.42578125" style="291"/>
    <col min="9480" max="9480" width="14.85546875" style="291" bestFit="1" customWidth="1"/>
    <col min="9481" max="9487" width="11.42578125" style="291"/>
    <col min="9488" max="9488" width="21.28515625" style="291" bestFit="1" customWidth="1"/>
    <col min="9489" max="9489" width="28.42578125" style="291" customWidth="1"/>
    <col min="9490" max="9490" width="11.42578125" style="291"/>
    <col min="9491" max="9491" width="17.5703125" style="291" bestFit="1" customWidth="1"/>
    <col min="9492" max="9492" width="15.7109375" style="291" bestFit="1" customWidth="1"/>
    <col min="9493" max="9493" width="11.42578125" style="291"/>
    <col min="9494" max="9494" width="12.5703125" style="291" bestFit="1" customWidth="1"/>
    <col min="9495" max="9496" width="11.42578125" style="291"/>
    <col min="9497" max="9497" width="18" style="291" bestFit="1" customWidth="1"/>
    <col min="9498" max="9498" width="7.7109375" style="291" bestFit="1" customWidth="1"/>
    <col min="9499" max="9735" width="11.42578125" style="291"/>
    <col min="9736" max="9736" width="14.85546875" style="291" bestFit="1" customWidth="1"/>
    <col min="9737" max="9743" width="11.42578125" style="291"/>
    <col min="9744" max="9744" width="21.28515625" style="291" bestFit="1" customWidth="1"/>
    <col min="9745" max="9745" width="28.42578125" style="291" customWidth="1"/>
    <col min="9746" max="9746" width="11.42578125" style="291"/>
    <col min="9747" max="9747" width="17.5703125" style="291" bestFit="1" customWidth="1"/>
    <col min="9748" max="9748" width="15.7109375" style="291" bestFit="1" customWidth="1"/>
    <col min="9749" max="9749" width="11.42578125" style="291"/>
    <col min="9750" max="9750" width="12.5703125" style="291" bestFit="1" customWidth="1"/>
    <col min="9751" max="9752" width="11.42578125" style="291"/>
    <col min="9753" max="9753" width="18" style="291" bestFit="1" customWidth="1"/>
    <col min="9754" max="9754" width="7.7109375" style="291" bestFit="1" customWidth="1"/>
    <col min="9755" max="9991" width="11.42578125" style="291"/>
    <col min="9992" max="9992" width="14.85546875" style="291" bestFit="1" customWidth="1"/>
    <col min="9993" max="9999" width="11.42578125" style="291"/>
    <col min="10000" max="10000" width="21.28515625" style="291" bestFit="1" customWidth="1"/>
    <col min="10001" max="10001" width="28.42578125" style="291" customWidth="1"/>
    <col min="10002" max="10002" width="11.42578125" style="291"/>
    <col min="10003" max="10003" width="17.5703125" style="291" bestFit="1" customWidth="1"/>
    <col min="10004" max="10004" width="15.7109375" style="291" bestFit="1" customWidth="1"/>
    <col min="10005" max="10005" width="11.42578125" style="291"/>
    <col min="10006" max="10006" width="12.5703125" style="291" bestFit="1" customWidth="1"/>
    <col min="10007" max="10008" width="11.42578125" style="291"/>
    <col min="10009" max="10009" width="18" style="291" bestFit="1" customWidth="1"/>
    <col min="10010" max="10010" width="7.7109375" style="291" bestFit="1" customWidth="1"/>
    <col min="10011" max="10247" width="11.42578125" style="291"/>
    <col min="10248" max="10248" width="14.85546875" style="291" bestFit="1" customWidth="1"/>
    <col min="10249" max="10255" width="11.42578125" style="291"/>
    <col min="10256" max="10256" width="21.28515625" style="291" bestFit="1" customWidth="1"/>
    <col min="10257" max="10257" width="28.42578125" style="291" customWidth="1"/>
    <col min="10258" max="10258" width="11.42578125" style="291"/>
    <col min="10259" max="10259" width="17.5703125" style="291" bestFit="1" customWidth="1"/>
    <col min="10260" max="10260" width="15.7109375" style="291" bestFit="1" customWidth="1"/>
    <col min="10261" max="10261" width="11.42578125" style="291"/>
    <col min="10262" max="10262" width="12.5703125" style="291" bestFit="1" customWidth="1"/>
    <col min="10263" max="10264" width="11.42578125" style="291"/>
    <col min="10265" max="10265" width="18" style="291" bestFit="1" customWidth="1"/>
    <col min="10266" max="10266" width="7.7109375" style="291" bestFit="1" customWidth="1"/>
    <col min="10267" max="10503" width="11.42578125" style="291"/>
    <col min="10504" max="10504" width="14.85546875" style="291" bestFit="1" customWidth="1"/>
    <col min="10505" max="10511" width="11.42578125" style="291"/>
    <col min="10512" max="10512" width="21.28515625" style="291" bestFit="1" customWidth="1"/>
    <col min="10513" max="10513" width="28.42578125" style="291" customWidth="1"/>
    <col min="10514" max="10514" width="11.42578125" style="291"/>
    <col min="10515" max="10515" width="17.5703125" style="291" bestFit="1" customWidth="1"/>
    <col min="10516" max="10516" width="15.7109375" style="291" bestFit="1" customWidth="1"/>
    <col min="10517" max="10517" width="11.42578125" style="291"/>
    <col min="10518" max="10518" width="12.5703125" style="291" bestFit="1" customWidth="1"/>
    <col min="10519" max="10520" width="11.42578125" style="291"/>
    <col min="10521" max="10521" width="18" style="291" bestFit="1" customWidth="1"/>
    <col min="10522" max="10522" width="7.7109375" style="291" bestFit="1" customWidth="1"/>
    <col min="10523" max="10759" width="11.42578125" style="291"/>
    <col min="10760" max="10760" width="14.85546875" style="291" bestFit="1" customWidth="1"/>
    <col min="10761" max="10767" width="11.42578125" style="291"/>
    <col min="10768" max="10768" width="21.28515625" style="291" bestFit="1" customWidth="1"/>
    <col min="10769" max="10769" width="28.42578125" style="291" customWidth="1"/>
    <col min="10770" max="10770" width="11.42578125" style="291"/>
    <col min="10771" max="10771" width="17.5703125" style="291" bestFit="1" customWidth="1"/>
    <col min="10772" max="10772" width="15.7109375" style="291" bestFit="1" customWidth="1"/>
    <col min="10773" max="10773" width="11.42578125" style="291"/>
    <col min="10774" max="10774" width="12.5703125" style="291" bestFit="1" customWidth="1"/>
    <col min="10775" max="10776" width="11.42578125" style="291"/>
    <col min="10777" max="10777" width="18" style="291" bestFit="1" customWidth="1"/>
    <col min="10778" max="10778" width="7.7109375" style="291" bestFit="1" customWidth="1"/>
    <col min="10779" max="11015" width="11.42578125" style="291"/>
    <col min="11016" max="11016" width="14.85546875" style="291" bestFit="1" customWidth="1"/>
    <col min="11017" max="11023" width="11.42578125" style="291"/>
    <col min="11024" max="11024" width="21.28515625" style="291" bestFit="1" customWidth="1"/>
    <col min="11025" max="11025" width="28.42578125" style="291" customWidth="1"/>
    <col min="11026" max="11026" width="11.42578125" style="291"/>
    <col min="11027" max="11027" width="17.5703125" style="291" bestFit="1" customWidth="1"/>
    <col min="11028" max="11028" width="15.7109375" style="291" bestFit="1" customWidth="1"/>
    <col min="11029" max="11029" width="11.42578125" style="291"/>
    <col min="11030" max="11030" width="12.5703125" style="291" bestFit="1" customWidth="1"/>
    <col min="11031" max="11032" width="11.42578125" style="291"/>
    <col min="11033" max="11033" width="18" style="291" bestFit="1" customWidth="1"/>
    <col min="11034" max="11034" width="7.7109375" style="291" bestFit="1" customWidth="1"/>
    <col min="11035" max="11271" width="11.42578125" style="291"/>
    <col min="11272" max="11272" width="14.85546875" style="291" bestFit="1" customWidth="1"/>
    <col min="11273" max="11279" width="11.42578125" style="291"/>
    <col min="11280" max="11280" width="21.28515625" style="291" bestFit="1" customWidth="1"/>
    <col min="11281" max="11281" width="28.42578125" style="291" customWidth="1"/>
    <col min="11282" max="11282" width="11.42578125" style="291"/>
    <col min="11283" max="11283" width="17.5703125" style="291" bestFit="1" customWidth="1"/>
    <col min="11284" max="11284" width="15.7109375" style="291" bestFit="1" customWidth="1"/>
    <col min="11285" max="11285" width="11.42578125" style="291"/>
    <col min="11286" max="11286" width="12.5703125" style="291" bestFit="1" customWidth="1"/>
    <col min="11287" max="11288" width="11.42578125" style="291"/>
    <col min="11289" max="11289" width="18" style="291" bestFit="1" customWidth="1"/>
    <col min="11290" max="11290" width="7.7109375" style="291" bestFit="1" customWidth="1"/>
    <col min="11291" max="11527" width="11.42578125" style="291"/>
    <col min="11528" max="11528" width="14.85546875" style="291" bestFit="1" customWidth="1"/>
    <col min="11529" max="11535" width="11.42578125" style="291"/>
    <col min="11536" max="11536" width="21.28515625" style="291" bestFit="1" customWidth="1"/>
    <col min="11537" max="11537" width="28.42578125" style="291" customWidth="1"/>
    <col min="11538" max="11538" width="11.42578125" style="291"/>
    <col min="11539" max="11539" width="17.5703125" style="291" bestFit="1" customWidth="1"/>
    <col min="11540" max="11540" width="15.7109375" style="291" bestFit="1" customWidth="1"/>
    <col min="11541" max="11541" width="11.42578125" style="291"/>
    <col min="11542" max="11542" width="12.5703125" style="291" bestFit="1" customWidth="1"/>
    <col min="11543" max="11544" width="11.42578125" style="291"/>
    <col min="11545" max="11545" width="18" style="291" bestFit="1" customWidth="1"/>
    <col min="11546" max="11546" width="7.7109375" style="291" bestFit="1" customWidth="1"/>
    <col min="11547" max="11783" width="11.42578125" style="291"/>
    <col min="11784" max="11784" width="14.85546875" style="291" bestFit="1" customWidth="1"/>
    <col min="11785" max="11791" width="11.42578125" style="291"/>
    <col min="11792" max="11792" width="21.28515625" style="291" bestFit="1" customWidth="1"/>
    <col min="11793" max="11793" width="28.42578125" style="291" customWidth="1"/>
    <col min="11794" max="11794" width="11.42578125" style="291"/>
    <col min="11795" max="11795" width="17.5703125" style="291" bestFit="1" customWidth="1"/>
    <col min="11796" max="11796" width="15.7109375" style="291" bestFit="1" customWidth="1"/>
    <col min="11797" max="11797" width="11.42578125" style="291"/>
    <col min="11798" max="11798" width="12.5703125" style="291" bestFit="1" customWidth="1"/>
    <col min="11799" max="11800" width="11.42578125" style="291"/>
    <col min="11801" max="11801" width="18" style="291" bestFit="1" customWidth="1"/>
    <col min="11802" max="11802" width="7.7109375" style="291" bestFit="1" customWidth="1"/>
    <col min="11803" max="12039" width="11.42578125" style="291"/>
    <col min="12040" max="12040" width="14.85546875" style="291" bestFit="1" customWidth="1"/>
    <col min="12041" max="12047" width="11.42578125" style="291"/>
    <col min="12048" max="12048" width="21.28515625" style="291" bestFit="1" customWidth="1"/>
    <col min="12049" max="12049" width="28.42578125" style="291" customWidth="1"/>
    <col min="12050" max="12050" width="11.42578125" style="291"/>
    <col min="12051" max="12051" width="17.5703125" style="291" bestFit="1" customWidth="1"/>
    <col min="12052" max="12052" width="15.7109375" style="291" bestFit="1" customWidth="1"/>
    <col min="12053" max="12053" width="11.42578125" style="291"/>
    <col min="12054" max="12054" width="12.5703125" style="291" bestFit="1" customWidth="1"/>
    <col min="12055" max="12056" width="11.42578125" style="291"/>
    <col min="12057" max="12057" width="18" style="291" bestFit="1" customWidth="1"/>
    <col min="12058" max="12058" width="7.7109375" style="291" bestFit="1" customWidth="1"/>
    <col min="12059" max="12295" width="11.42578125" style="291"/>
    <col min="12296" max="12296" width="14.85546875" style="291" bestFit="1" customWidth="1"/>
    <col min="12297" max="12303" width="11.42578125" style="291"/>
    <col min="12304" max="12304" width="21.28515625" style="291" bestFit="1" customWidth="1"/>
    <col min="12305" max="12305" width="28.42578125" style="291" customWidth="1"/>
    <col min="12306" max="12306" width="11.42578125" style="291"/>
    <col min="12307" max="12307" width="17.5703125" style="291" bestFit="1" customWidth="1"/>
    <col min="12308" max="12308" width="15.7109375" style="291" bestFit="1" customWidth="1"/>
    <col min="12309" max="12309" width="11.42578125" style="291"/>
    <col min="12310" max="12310" width="12.5703125" style="291" bestFit="1" customWidth="1"/>
    <col min="12311" max="12312" width="11.42578125" style="291"/>
    <col min="12313" max="12313" width="18" style="291" bestFit="1" customWidth="1"/>
    <col min="12314" max="12314" width="7.7109375" style="291" bestFit="1" customWidth="1"/>
    <col min="12315" max="12551" width="11.42578125" style="291"/>
    <col min="12552" max="12552" width="14.85546875" style="291" bestFit="1" customWidth="1"/>
    <col min="12553" max="12559" width="11.42578125" style="291"/>
    <col min="12560" max="12560" width="21.28515625" style="291" bestFit="1" customWidth="1"/>
    <col min="12561" max="12561" width="28.42578125" style="291" customWidth="1"/>
    <col min="12562" max="12562" width="11.42578125" style="291"/>
    <col min="12563" max="12563" width="17.5703125" style="291" bestFit="1" customWidth="1"/>
    <col min="12564" max="12564" width="15.7109375" style="291" bestFit="1" customWidth="1"/>
    <col min="12565" max="12565" width="11.42578125" style="291"/>
    <col min="12566" max="12566" width="12.5703125" style="291" bestFit="1" customWidth="1"/>
    <col min="12567" max="12568" width="11.42578125" style="291"/>
    <col min="12569" max="12569" width="18" style="291" bestFit="1" customWidth="1"/>
    <col min="12570" max="12570" width="7.7109375" style="291" bestFit="1" customWidth="1"/>
    <col min="12571" max="12807" width="11.42578125" style="291"/>
    <col min="12808" max="12808" width="14.85546875" style="291" bestFit="1" customWidth="1"/>
    <col min="12809" max="12815" width="11.42578125" style="291"/>
    <col min="12816" max="12816" width="21.28515625" style="291" bestFit="1" customWidth="1"/>
    <col min="12817" max="12817" width="28.42578125" style="291" customWidth="1"/>
    <col min="12818" max="12818" width="11.42578125" style="291"/>
    <col min="12819" max="12819" width="17.5703125" style="291" bestFit="1" customWidth="1"/>
    <col min="12820" max="12820" width="15.7109375" style="291" bestFit="1" customWidth="1"/>
    <col min="12821" max="12821" width="11.42578125" style="291"/>
    <col min="12822" max="12822" width="12.5703125" style="291" bestFit="1" customWidth="1"/>
    <col min="12823" max="12824" width="11.42578125" style="291"/>
    <col min="12825" max="12825" width="18" style="291" bestFit="1" customWidth="1"/>
    <col min="12826" max="12826" width="7.7109375" style="291" bestFit="1" customWidth="1"/>
    <col min="12827" max="13063" width="11.42578125" style="291"/>
    <col min="13064" max="13064" width="14.85546875" style="291" bestFit="1" customWidth="1"/>
    <col min="13065" max="13071" width="11.42578125" style="291"/>
    <col min="13072" max="13072" width="21.28515625" style="291" bestFit="1" customWidth="1"/>
    <col min="13073" max="13073" width="28.42578125" style="291" customWidth="1"/>
    <col min="13074" max="13074" width="11.42578125" style="291"/>
    <col min="13075" max="13075" width="17.5703125" style="291" bestFit="1" customWidth="1"/>
    <col min="13076" max="13076" width="15.7109375" style="291" bestFit="1" customWidth="1"/>
    <col min="13077" max="13077" width="11.42578125" style="291"/>
    <col min="13078" max="13078" width="12.5703125" style="291" bestFit="1" customWidth="1"/>
    <col min="13079" max="13080" width="11.42578125" style="291"/>
    <col min="13081" max="13081" width="18" style="291" bestFit="1" customWidth="1"/>
    <col min="13082" max="13082" width="7.7109375" style="291" bestFit="1" customWidth="1"/>
    <col min="13083" max="13319" width="11.42578125" style="291"/>
    <col min="13320" max="13320" width="14.85546875" style="291" bestFit="1" customWidth="1"/>
    <col min="13321" max="13327" width="11.42578125" style="291"/>
    <col min="13328" max="13328" width="21.28515625" style="291" bestFit="1" customWidth="1"/>
    <col min="13329" max="13329" width="28.42578125" style="291" customWidth="1"/>
    <col min="13330" max="13330" width="11.42578125" style="291"/>
    <col min="13331" max="13331" width="17.5703125" style="291" bestFit="1" customWidth="1"/>
    <col min="13332" max="13332" width="15.7109375" style="291" bestFit="1" customWidth="1"/>
    <col min="13333" max="13333" width="11.42578125" style="291"/>
    <col min="13334" max="13334" width="12.5703125" style="291" bestFit="1" customWidth="1"/>
    <col min="13335" max="13336" width="11.42578125" style="291"/>
    <col min="13337" max="13337" width="18" style="291" bestFit="1" customWidth="1"/>
    <col min="13338" max="13338" width="7.7109375" style="291" bestFit="1" customWidth="1"/>
    <col min="13339" max="13575" width="11.42578125" style="291"/>
    <col min="13576" max="13576" width="14.85546875" style="291" bestFit="1" customWidth="1"/>
    <col min="13577" max="13583" width="11.42578125" style="291"/>
    <col min="13584" max="13584" width="21.28515625" style="291" bestFit="1" customWidth="1"/>
    <col min="13585" max="13585" width="28.42578125" style="291" customWidth="1"/>
    <col min="13586" max="13586" width="11.42578125" style="291"/>
    <col min="13587" max="13587" width="17.5703125" style="291" bestFit="1" customWidth="1"/>
    <col min="13588" max="13588" width="15.7109375" style="291" bestFit="1" customWidth="1"/>
    <col min="13589" max="13589" width="11.42578125" style="291"/>
    <col min="13590" max="13590" width="12.5703125" style="291" bestFit="1" customWidth="1"/>
    <col min="13591" max="13592" width="11.42578125" style="291"/>
    <col min="13593" max="13593" width="18" style="291" bestFit="1" customWidth="1"/>
    <col min="13594" max="13594" width="7.7109375" style="291" bestFit="1" customWidth="1"/>
    <col min="13595" max="13831" width="11.42578125" style="291"/>
    <col min="13832" max="13832" width="14.85546875" style="291" bestFit="1" customWidth="1"/>
    <col min="13833" max="13839" width="11.42578125" style="291"/>
    <col min="13840" max="13840" width="21.28515625" style="291" bestFit="1" customWidth="1"/>
    <col min="13841" max="13841" width="28.42578125" style="291" customWidth="1"/>
    <col min="13842" max="13842" width="11.42578125" style="291"/>
    <col min="13843" max="13843" width="17.5703125" style="291" bestFit="1" customWidth="1"/>
    <col min="13844" max="13844" width="15.7109375" style="291" bestFit="1" customWidth="1"/>
    <col min="13845" max="13845" width="11.42578125" style="291"/>
    <col min="13846" max="13846" width="12.5703125" style="291" bestFit="1" customWidth="1"/>
    <col min="13847" max="13848" width="11.42578125" style="291"/>
    <col min="13849" max="13849" width="18" style="291" bestFit="1" customWidth="1"/>
    <col min="13850" max="13850" width="7.7109375" style="291" bestFit="1" customWidth="1"/>
    <col min="13851" max="14087" width="11.42578125" style="291"/>
    <col min="14088" max="14088" width="14.85546875" style="291" bestFit="1" customWidth="1"/>
    <col min="14089" max="14095" width="11.42578125" style="291"/>
    <col min="14096" max="14096" width="21.28515625" style="291" bestFit="1" customWidth="1"/>
    <col min="14097" max="14097" width="28.42578125" style="291" customWidth="1"/>
    <col min="14098" max="14098" width="11.42578125" style="291"/>
    <col min="14099" max="14099" width="17.5703125" style="291" bestFit="1" customWidth="1"/>
    <col min="14100" max="14100" width="15.7109375" style="291" bestFit="1" customWidth="1"/>
    <col min="14101" max="14101" width="11.42578125" style="291"/>
    <col min="14102" max="14102" width="12.5703125" style="291" bestFit="1" customWidth="1"/>
    <col min="14103" max="14104" width="11.42578125" style="291"/>
    <col min="14105" max="14105" width="18" style="291" bestFit="1" customWidth="1"/>
    <col min="14106" max="14106" width="7.7109375" style="291" bestFit="1" customWidth="1"/>
    <col min="14107" max="14343" width="11.42578125" style="291"/>
    <col min="14344" max="14344" width="14.85546875" style="291" bestFit="1" customWidth="1"/>
    <col min="14345" max="14351" width="11.42578125" style="291"/>
    <col min="14352" max="14352" width="21.28515625" style="291" bestFit="1" customWidth="1"/>
    <col min="14353" max="14353" width="28.42578125" style="291" customWidth="1"/>
    <col min="14354" max="14354" width="11.42578125" style="291"/>
    <col min="14355" max="14355" width="17.5703125" style="291" bestFit="1" customWidth="1"/>
    <col min="14356" max="14356" width="15.7109375" style="291" bestFit="1" customWidth="1"/>
    <col min="14357" max="14357" width="11.42578125" style="291"/>
    <col min="14358" max="14358" width="12.5703125" style="291" bestFit="1" customWidth="1"/>
    <col min="14359" max="14360" width="11.42578125" style="291"/>
    <col min="14361" max="14361" width="18" style="291" bestFit="1" customWidth="1"/>
    <col min="14362" max="14362" width="7.7109375" style="291" bestFit="1" customWidth="1"/>
    <col min="14363" max="14599" width="11.42578125" style="291"/>
    <col min="14600" max="14600" width="14.85546875" style="291" bestFit="1" customWidth="1"/>
    <col min="14601" max="14607" width="11.42578125" style="291"/>
    <col min="14608" max="14608" width="21.28515625" style="291" bestFit="1" customWidth="1"/>
    <col min="14609" max="14609" width="28.42578125" style="291" customWidth="1"/>
    <col min="14610" max="14610" width="11.42578125" style="291"/>
    <col min="14611" max="14611" width="17.5703125" style="291" bestFit="1" customWidth="1"/>
    <col min="14612" max="14612" width="15.7109375" style="291" bestFit="1" customWidth="1"/>
    <col min="14613" max="14613" width="11.42578125" style="291"/>
    <col min="14614" max="14614" width="12.5703125" style="291" bestFit="1" customWidth="1"/>
    <col min="14615" max="14616" width="11.42578125" style="291"/>
    <col min="14617" max="14617" width="18" style="291" bestFit="1" customWidth="1"/>
    <col min="14618" max="14618" width="7.7109375" style="291" bestFit="1" customWidth="1"/>
    <col min="14619" max="14855" width="11.42578125" style="291"/>
    <col min="14856" max="14856" width="14.85546875" style="291" bestFit="1" customWidth="1"/>
    <col min="14857" max="14863" width="11.42578125" style="291"/>
    <col min="14864" max="14864" width="21.28515625" style="291" bestFit="1" customWidth="1"/>
    <col min="14865" max="14865" width="28.42578125" style="291" customWidth="1"/>
    <col min="14866" max="14866" width="11.42578125" style="291"/>
    <col min="14867" max="14867" width="17.5703125" style="291" bestFit="1" customWidth="1"/>
    <col min="14868" max="14868" width="15.7109375" style="291" bestFit="1" customWidth="1"/>
    <col min="14869" max="14869" width="11.42578125" style="291"/>
    <col min="14870" max="14870" width="12.5703125" style="291" bestFit="1" customWidth="1"/>
    <col min="14871" max="14872" width="11.42578125" style="291"/>
    <col min="14873" max="14873" width="18" style="291" bestFit="1" customWidth="1"/>
    <col min="14874" max="14874" width="7.7109375" style="291" bestFit="1" customWidth="1"/>
    <col min="14875" max="15111" width="11.42578125" style="291"/>
    <col min="15112" max="15112" width="14.85546875" style="291" bestFit="1" customWidth="1"/>
    <col min="15113" max="15119" width="11.42578125" style="291"/>
    <col min="15120" max="15120" width="21.28515625" style="291" bestFit="1" customWidth="1"/>
    <col min="15121" max="15121" width="28.42578125" style="291" customWidth="1"/>
    <col min="15122" max="15122" width="11.42578125" style="291"/>
    <col min="15123" max="15123" width="17.5703125" style="291" bestFit="1" customWidth="1"/>
    <col min="15124" max="15124" width="15.7109375" style="291" bestFit="1" customWidth="1"/>
    <col min="15125" max="15125" width="11.42578125" style="291"/>
    <col min="15126" max="15126" width="12.5703125" style="291" bestFit="1" customWidth="1"/>
    <col min="15127" max="15128" width="11.42578125" style="291"/>
    <col min="15129" max="15129" width="18" style="291" bestFit="1" customWidth="1"/>
    <col min="15130" max="15130" width="7.7109375" style="291" bestFit="1" customWidth="1"/>
    <col min="15131" max="15367" width="11.42578125" style="291"/>
    <col min="15368" max="15368" width="14.85546875" style="291" bestFit="1" customWidth="1"/>
    <col min="15369" max="15375" width="11.42578125" style="291"/>
    <col min="15376" max="15376" width="21.28515625" style="291" bestFit="1" customWidth="1"/>
    <col min="15377" max="15377" width="28.42578125" style="291" customWidth="1"/>
    <col min="15378" max="15378" width="11.42578125" style="291"/>
    <col min="15379" max="15379" width="17.5703125" style="291" bestFit="1" customWidth="1"/>
    <col min="15380" max="15380" width="15.7109375" style="291" bestFit="1" customWidth="1"/>
    <col min="15381" max="15381" width="11.42578125" style="291"/>
    <col min="15382" max="15382" width="12.5703125" style="291" bestFit="1" customWidth="1"/>
    <col min="15383" max="15384" width="11.42578125" style="291"/>
    <col min="15385" max="15385" width="18" style="291" bestFit="1" customWidth="1"/>
    <col min="15386" max="15386" width="7.7109375" style="291" bestFit="1" customWidth="1"/>
    <col min="15387" max="15623" width="11.42578125" style="291"/>
    <col min="15624" max="15624" width="14.85546875" style="291" bestFit="1" customWidth="1"/>
    <col min="15625" max="15631" width="11.42578125" style="291"/>
    <col min="15632" max="15632" width="21.28515625" style="291" bestFit="1" customWidth="1"/>
    <col min="15633" max="15633" width="28.42578125" style="291" customWidth="1"/>
    <col min="15634" max="15634" width="11.42578125" style="291"/>
    <col min="15635" max="15635" width="17.5703125" style="291" bestFit="1" customWidth="1"/>
    <col min="15636" max="15636" width="15.7109375" style="291" bestFit="1" customWidth="1"/>
    <col min="15637" max="15637" width="11.42578125" style="291"/>
    <col min="15638" max="15638" width="12.5703125" style="291" bestFit="1" customWidth="1"/>
    <col min="15639" max="15640" width="11.42578125" style="291"/>
    <col min="15641" max="15641" width="18" style="291" bestFit="1" customWidth="1"/>
    <col min="15642" max="15642" width="7.7109375" style="291" bestFit="1" customWidth="1"/>
    <col min="15643" max="15879" width="11.42578125" style="291"/>
    <col min="15880" max="15880" width="14.85546875" style="291" bestFit="1" customWidth="1"/>
    <col min="15881" max="15887" width="11.42578125" style="291"/>
    <col min="15888" max="15888" width="21.28515625" style="291" bestFit="1" customWidth="1"/>
    <col min="15889" max="15889" width="28.42578125" style="291" customWidth="1"/>
    <col min="15890" max="15890" width="11.42578125" style="291"/>
    <col min="15891" max="15891" width="17.5703125" style="291" bestFit="1" customWidth="1"/>
    <col min="15892" max="15892" width="15.7109375" style="291" bestFit="1" customWidth="1"/>
    <col min="15893" max="15893" width="11.42578125" style="291"/>
    <col min="15894" max="15894" width="12.5703125" style="291" bestFit="1" customWidth="1"/>
    <col min="15895" max="15896" width="11.42578125" style="291"/>
    <col min="15897" max="15897" width="18" style="291" bestFit="1" customWidth="1"/>
    <col min="15898" max="15898" width="7.7109375" style="291" bestFit="1" customWidth="1"/>
    <col min="15899" max="16135" width="11.42578125" style="291"/>
    <col min="16136" max="16136" width="14.85546875" style="291" bestFit="1" customWidth="1"/>
    <col min="16137" max="16143" width="11.42578125" style="291"/>
    <col min="16144" max="16144" width="21.28515625" style="291" bestFit="1" customWidth="1"/>
    <col min="16145" max="16145" width="28.42578125" style="291" customWidth="1"/>
    <col min="16146" max="16146" width="11.42578125" style="291"/>
    <col min="16147" max="16147" width="17.5703125" style="291" bestFit="1" customWidth="1"/>
    <col min="16148" max="16148" width="15.7109375" style="291" bestFit="1" customWidth="1"/>
    <col min="16149" max="16149" width="11.42578125" style="291"/>
    <col min="16150" max="16150" width="12.5703125" style="291" bestFit="1" customWidth="1"/>
    <col min="16151" max="16152" width="11.42578125" style="291"/>
    <col min="16153" max="16153" width="18" style="291" bestFit="1" customWidth="1"/>
    <col min="16154" max="16154" width="7.7109375" style="291" bestFit="1" customWidth="1"/>
    <col min="16155" max="16384" width="11.42578125" style="291"/>
  </cols>
  <sheetData>
    <row r="2" spans="2:37">
      <c r="O2" s="382"/>
      <c r="P2" s="382"/>
      <c r="Q2" s="382"/>
      <c r="R2" s="382"/>
      <c r="S2" s="382"/>
      <c r="T2" s="469"/>
      <c r="U2" s="382"/>
      <c r="V2" s="382"/>
      <c r="W2" s="382"/>
      <c r="X2" s="382"/>
      <c r="Y2" s="382"/>
      <c r="Z2" s="469"/>
      <c r="AA2" s="382"/>
      <c r="AB2" s="382"/>
      <c r="AC2" s="382"/>
      <c r="AD2" s="382"/>
    </row>
    <row r="3" spans="2:37">
      <c r="O3" s="382"/>
      <c r="P3" s="382"/>
      <c r="Q3" s="382"/>
      <c r="R3" s="382"/>
      <c r="S3" s="382"/>
      <c r="T3" s="469"/>
      <c r="U3" s="382"/>
      <c r="V3" s="382"/>
      <c r="W3" s="382"/>
      <c r="X3" s="382"/>
      <c r="Y3" s="382"/>
      <c r="Z3" s="469"/>
      <c r="AA3" s="382"/>
      <c r="AB3" s="382"/>
      <c r="AC3" s="382"/>
      <c r="AD3" s="382"/>
    </row>
    <row r="4" spans="2:37">
      <c r="O4" s="382"/>
      <c r="P4" s="382" t="s">
        <v>702</v>
      </c>
      <c r="Q4" s="382" t="s">
        <v>703</v>
      </c>
      <c r="R4" s="382"/>
      <c r="S4" s="382"/>
      <c r="T4" s="469"/>
      <c r="U4" s="382"/>
      <c r="V4" s="382"/>
      <c r="W4" s="382"/>
      <c r="X4" s="382"/>
      <c r="Y4" s="382"/>
      <c r="Z4" s="469"/>
      <c r="AA4" s="382"/>
      <c r="AB4" s="382"/>
      <c r="AC4" s="382"/>
      <c r="AD4" s="382"/>
    </row>
    <row r="5" spans="2:37">
      <c r="N5" s="381"/>
      <c r="O5" s="382"/>
      <c r="P5" s="382" t="s">
        <v>704</v>
      </c>
      <c r="Q5" s="382" t="s">
        <v>433</v>
      </c>
      <c r="R5" s="382" t="s">
        <v>434</v>
      </c>
      <c r="S5" s="382" t="s">
        <v>435</v>
      </c>
      <c r="T5" s="469" t="s">
        <v>436</v>
      </c>
      <c r="U5" s="382" t="s">
        <v>705</v>
      </c>
      <c r="V5" s="382" t="s">
        <v>407</v>
      </c>
      <c r="W5" s="382"/>
      <c r="X5" s="382"/>
      <c r="Y5" s="382"/>
      <c r="Z5" s="469"/>
      <c r="AA5" s="382"/>
      <c r="AB5" s="382"/>
      <c r="AC5" s="382"/>
      <c r="AD5" s="382"/>
      <c r="AE5" s="381"/>
      <c r="AF5" s="381"/>
      <c r="AG5" s="381"/>
      <c r="AH5" s="381"/>
      <c r="AI5" s="381"/>
      <c r="AJ5" s="381"/>
      <c r="AK5" s="381"/>
    </row>
    <row r="6" spans="2:37" ht="26.25">
      <c r="B6" s="606" t="s">
        <v>674</v>
      </c>
      <c r="C6" s="606"/>
      <c r="D6" s="606"/>
      <c r="E6" s="606"/>
      <c r="F6" s="606"/>
      <c r="G6" s="606"/>
      <c r="H6" s="606"/>
      <c r="I6" s="606"/>
      <c r="J6" s="606"/>
      <c r="N6" s="381"/>
      <c r="O6" s="382"/>
      <c r="P6" s="382" t="s">
        <v>706</v>
      </c>
      <c r="Q6" s="470">
        <v>51042</v>
      </c>
      <c r="R6" s="470">
        <v>50127</v>
      </c>
      <c r="S6" s="470">
        <v>49412</v>
      </c>
      <c r="T6" s="469">
        <v>52344</v>
      </c>
      <c r="U6" s="470">
        <v>55295</v>
      </c>
      <c r="V6" s="470">
        <v>258220</v>
      </c>
      <c r="W6" s="382"/>
      <c r="X6" s="382"/>
      <c r="Y6" s="382"/>
      <c r="Z6" s="469"/>
      <c r="AA6" s="382"/>
      <c r="AB6" s="382"/>
      <c r="AC6" s="382"/>
      <c r="AD6" s="382"/>
      <c r="AE6" s="381"/>
      <c r="AF6" s="381"/>
      <c r="AG6" s="381"/>
      <c r="AH6" s="381"/>
      <c r="AI6" s="381"/>
      <c r="AJ6" s="381"/>
      <c r="AK6" s="381"/>
    </row>
    <row r="7" spans="2:37" ht="20.25">
      <c r="B7" s="607" t="s">
        <v>707</v>
      </c>
      <c r="C7" s="607"/>
      <c r="D7" s="607"/>
      <c r="E7" s="607"/>
      <c r="F7" s="607"/>
      <c r="G7" s="608" t="s">
        <v>708</v>
      </c>
      <c r="H7" s="608"/>
      <c r="I7" s="608"/>
      <c r="J7" s="608"/>
      <c r="K7" s="471"/>
      <c r="L7" s="471"/>
      <c r="M7" s="471"/>
      <c r="N7" s="381"/>
      <c r="O7" s="382"/>
      <c r="P7" s="382" t="s">
        <v>709</v>
      </c>
      <c r="Q7" s="470">
        <v>64603</v>
      </c>
      <c r="R7" s="470">
        <v>65037</v>
      </c>
      <c r="S7" s="470">
        <v>63284</v>
      </c>
      <c r="T7" s="469">
        <v>63266</v>
      </c>
      <c r="U7" s="470">
        <v>63607</v>
      </c>
      <c r="V7" s="470">
        <v>319797</v>
      </c>
      <c r="W7" s="382"/>
      <c r="X7" s="382"/>
      <c r="Y7" s="382"/>
      <c r="Z7" s="469"/>
      <c r="AA7" s="382"/>
      <c r="AB7" s="382"/>
      <c r="AC7" s="382"/>
      <c r="AD7" s="382"/>
      <c r="AE7" s="381"/>
      <c r="AF7" s="381"/>
      <c r="AG7" s="381"/>
      <c r="AH7" s="381"/>
      <c r="AI7" s="381"/>
      <c r="AJ7" s="381"/>
      <c r="AK7" s="381"/>
    </row>
    <row r="8" spans="2:37">
      <c r="B8" s="471"/>
      <c r="C8" s="471"/>
      <c r="D8" s="471"/>
      <c r="E8" s="471"/>
      <c r="F8" s="471"/>
      <c r="G8" s="471"/>
      <c r="H8" s="471"/>
      <c r="I8" s="471"/>
      <c r="J8" s="471"/>
      <c r="K8" s="471"/>
      <c r="L8" s="471"/>
      <c r="M8" s="471"/>
      <c r="N8" s="381"/>
      <c r="O8" s="382"/>
      <c r="P8" s="382" t="s">
        <v>710</v>
      </c>
      <c r="Q8" s="470">
        <v>60830</v>
      </c>
      <c r="R8" s="470">
        <v>59753</v>
      </c>
      <c r="S8" s="470">
        <v>61164</v>
      </c>
      <c r="T8" s="469">
        <v>61561</v>
      </c>
      <c r="U8" s="470">
        <v>81920</v>
      </c>
      <c r="V8" s="470">
        <v>325228</v>
      </c>
      <c r="W8" s="382"/>
      <c r="X8" s="382"/>
      <c r="Y8" s="382"/>
      <c r="Z8" s="469"/>
      <c r="AA8" s="382"/>
      <c r="AB8" s="382"/>
      <c r="AC8" s="382"/>
      <c r="AD8" s="382"/>
      <c r="AE8" s="381"/>
      <c r="AF8" s="381"/>
      <c r="AG8" s="381"/>
      <c r="AH8" s="381"/>
      <c r="AI8" s="381"/>
      <c r="AJ8" s="381"/>
      <c r="AK8" s="381"/>
    </row>
    <row r="9" spans="2:37">
      <c r="B9" s="471"/>
      <c r="C9" s="471"/>
      <c r="D9" s="471"/>
      <c r="E9" s="471"/>
      <c r="F9" s="471"/>
      <c r="G9" s="471"/>
      <c r="H9" s="471"/>
      <c r="I9" s="471"/>
      <c r="J9" s="471"/>
      <c r="K9" s="471"/>
      <c r="L9" s="471"/>
      <c r="M9" s="471"/>
      <c r="N9" s="381"/>
      <c r="O9" s="382"/>
      <c r="P9" s="382" t="s">
        <v>407</v>
      </c>
      <c r="Q9" s="470">
        <v>176475</v>
      </c>
      <c r="R9" s="470">
        <v>174917</v>
      </c>
      <c r="S9" s="470">
        <v>173860</v>
      </c>
      <c r="T9" s="469">
        <v>177171</v>
      </c>
      <c r="U9" s="470">
        <v>200822</v>
      </c>
      <c r="V9" s="470">
        <v>903245</v>
      </c>
      <c r="W9" s="382"/>
      <c r="X9" s="382"/>
      <c r="Y9" s="382"/>
      <c r="Z9" s="469"/>
      <c r="AA9" s="382"/>
      <c r="AB9" s="382"/>
      <c r="AC9" s="382"/>
      <c r="AD9" s="382"/>
      <c r="AE9" s="381"/>
      <c r="AF9" s="381"/>
      <c r="AG9" s="381"/>
      <c r="AH9" s="381"/>
      <c r="AI9" s="381"/>
      <c r="AJ9" s="381"/>
      <c r="AK9" s="381"/>
    </row>
    <row r="10" spans="2:37">
      <c r="B10" s="471"/>
      <c r="C10" s="471"/>
      <c r="D10" s="471"/>
      <c r="E10" s="471"/>
      <c r="F10" s="471"/>
      <c r="G10" s="471"/>
      <c r="H10" s="471"/>
      <c r="I10" s="471"/>
      <c r="J10" s="471"/>
      <c r="K10" s="471"/>
      <c r="L10" s="471"/>
      <c r="M10" s="471"/>
      <c r="N10" s="381"/>
      <c r="O10" s="382"/>
      <c r="P10" s="382"/>
      <c r="Q10" s="382"/>
      <c r="R10" s="382"/>
      <c r="S10" s="382"/>
      <c r="T10" s="469"/>
      <c r="U10" s="382"/>
      <c r="V10" s="382"/>
      <c r="W10" s="382"/>
      <c r="X10" s="382"/>
      <c r="Y10" s="382"/>
      <c r="Z10" s="469"/>
      <c r="AA10" s="382"/>
      <c r="AB10" s="382"/>
      <c r="AC10" s="382"/>
      <c r="AD10" s="382"/>
      <c r="AE10" s="381"/>
      <c r="AF10" s="381"/>
      <c r="AG10" s="381"/>
      <c r="AH10" s="381"/>
      <c r="AI10" s="381"/>
      <c r="AJ10" s="381"/>
      <c r="AK10" s="381"/>
    </row>
    <row r="11" spans="2:37" ht="15" customHeight="1">
      <c r="B11" s="472" t="s">
        <v>676</v>
      </c>
      <c r="C11" s="473"/>
      <c r="D11" s="473"/>
      <c r="E11" s="472"/>
      <c r="F11" s="471"/>
      <c r="G11" s="471"/>
      <c r="H11" s="474" t="s">
        <v>677</v>
      </c>
      <c r="I11" s="475"/>
      <c r="J11" s="475"/>
      <c r="K11" s="471"/>
      <c r="L11" s="471"/>
      <c r="M11" s="471"/>
      <c r="N11" s="381"/>
      <c r="O11" s="382"/>
      <c r="P11" s="382"/>
      <c r="Q11" s="382"/>
      <c r="R11" s="382"/>
      <c r="S11" s="382"/>
      <c r="T11" s="469"/>
      <c r="U11" s="382"/>
      <c r="V11" s="382"/>
      <c r="W11" s="382"/>
      <c r="X11" s="382"/>
      <c r="Y11" s="382"/>
      <c r="Z11" s="469"/>
      <c r="AA11" s="382"/>
      <c r="AB11" s="382"/>
      <c r="AC11" s="382"/>
      <c r="AD11" s="382"/>
      <c r="AE11" s="381"/>
      <c r="AF11" s="381"/>
      <c r="AG11" s="381"/>
      <c r="AH11" s="381"/>
      <c r="AI11" s="381"/>
      <c r="AJ11" s="381"/>
      <c r="AK11" s="381"/>
    </row>
    <row r="12" spans="2:37">
      <c r="B12" s="609" t="s">
        <v>678</v>
      </c>
      <c r="C12" s="609"/>
      <c r="D12" s="609"/>
      <c r="E12" s="609"/>
      <c r="F12" s="471"/>
      <c r="G12" s="471"/>
      <c r="H12" s="610" t="s">
        <v>711</v>
      </c>
      <c r="I12" s="610"/>
      <c r="J12" s="610"/>
      <c r="K12" s="471"/>
      <c r="L12" s="471"/>
      <c r="M12" s="471"/>
      <c r="N12" s="381"/>
      <c r="O12" s="382"/>
      <c r="P12" s="382"/>
      <c r="Q12" s="382" t="s">
        <v>712</v>
      </c>
      <c r="R12" s="382" t="s">
        <v>713</v>
      </c>
      <c r="S12" s="382" t="s">
        <v>714</v>
      </c>
      <c r="T12" s="469" t="s">
        <v>715</v>
      </c>
      <c r="U12" s="382" t="s">
        <v>716</v>
      </c>
      <c r="V12" s="382"/>
      <c r="W12" s="382"/>
      <c r="X12" s="382"/>
      <c r="Y12" s="382"/>
      <c r="Z12" s="469"/>
      <c r="AA12" s="382"/>
      <c r="AB12" s="382"/>
      <c r="AC12" s="382"/>
      <c r="AD12" s="382"/>
      <c r="AE12" s="381"/>
      <c r="AF12" s="381"/>
      <c r="AG12" s="381"/>
      <c r="AH12" s="381"/>
      <c r="AI12" s="381"/>
      <c r="AJ12" s="381"/>
      <c r="AK12" s="381"/>
    </row>
    <row r="13" spans="2:37" ht="15" customHeight="1">
      <c r="B13" s="476" t="s">
        <v>0</v>
      </c>
      <c r="C13" s="476" t="s">
        <v>679</v>
      </c>
      <c r="D13" s="476" t="s">
        <v>680</v>
      </c>
      <c r="E13" s="476" t="s">
        <v>681</v>
      </c>
      <c r="F13" s="471"/>
      <c r="G13" s="471"/>
      <c r="H13" s="610"/>
      <c r="I13" s="610"/>
      <c r="J13" s="610"/>
      <c r="K13" s="471"/>
      <c r="L13" s="471"/>
      <c r="M13" s="471"/>
      <c r="N13" s="381"/>
      <c r="O13" s="382"/>
      <c r="P13" s="382" t="s">
        <v>717</v>
      </c>
      <c r="Q13" s="470">
        <f>Q6+Q7</f>
        <v>115645</v>
      </c>
      <c r="R13" s="470">
        <f>R6+R7</f>
        <v>115164</v>
      </c>
      <c r="S13" s="470">
        <f>S6+S7</f>
        <v>112696</v>
      </c>
      <c r="T13" s="469">
        <f>T6+T7</f>
        <v>115610</v>
      </c>
      <c r="U13" s="470">
        <f>U6+U7</f>
        <v>118902</v>
      </c>
      <c r="V13" s="382"/>
      <c r="W13" s="382"/>
      <c r="X13" s="382"/>
      <c r="Y13" s="382"/>
      <c r="Z13" s="469"/>
      <c r="AA13" s="382"/>
      <c r="AB13" s="382"/>
      <c r="AC13" s="382"/>
      <c r="AD13" s="382"/>
      <c r="AE13" s="381"/>
      <c r="AF13" s="381"/>
      <c r="AG13" s="381"/>
      <c r="AH13" s="381"/>
      <c r="AI13" s="381"/>
      <c r="AJ13" s="381"/>
      <c r="AK13" s="381"/>
    </row>
    <row r="14" spans="2:37">
      <c r="B14" s="477">
        <v>2006</v>
      </c>
      <c r="C14" s="478">
        <v>40633</v>
      </c>
      <c r="D14" s="478">
        <v>67860</v>
      </c>
      <c r="E14" s="479">
        <v>108493</v>
      </c>
      <c r="F14" s="471"/>
      <c r="G14" s="471"/>
      <c r="H14" s="476" t="s">
        <v>682</v>
      </c>
      <c r="I14" s="476" t="s">
        <v>683</v>
      </c>
      <c r="J14" s="476" t="s">
        <v>684</v>
      </c>
      <c r="K14" s="471"/>
      <c r="L14" s="471"/>
      <c r="M14" s="471"/>
      <c r="N14" s="381"/>
      <c r="O14" s="382"/>
      <c r="P14" s="382" t="s">
        <v>718</v>
      </c>
      <c r="Q14" s="470">
        <f>Q8</f>
        <v>60830</v>
      </c>
      <c r="R14" s="470">
        <f>R8</f>
        <v>59753</v>
      </c>
      <c r="S14" s="470">
        <f>S8</f>
        <v>61164</v>
      </c>
      <c r="T14" s="469">
        <f>T8</f>
        <v>61561</v>
      </c>
      <c r="U14" s="470">
        <f>U8</f>
        <v>81920</v>
      </c>
      <c r="V14" s="382"/>
      <c r="W14" s="382"/>
      <c r="X14" s="382"/>
      <c r="Y14" s="382"/>
      <c r="Z14" s="469"/>
      <c r="AA14" s="382"/>
      <c r="AB14" s="382"/>
      <c r="AC14" s="382"/>
      <c r="AD14" s="382"/>
      <c r="AE14" s="381"/>
      <c r="AF14" s="381"/>
      <c r="AG14" s="381"/>
      <c r="AH14" s="381"/>
      <c r="AI14" s="381"/>
      <c r="AJ14" s="381"/>
      <c r="AK14" s="381"/>
    </row>
    <row r="15" spans="2:37">
      <c r="B15" s="480">
        <v>2007</v>
      </c>
      <c r="C15" s="478">
        <v>54613</v>
      </c>
      <c r="D15" s="478">
        <v>80368</v>
      </c>
      <c r="E15" s="479">
        <v>134981</v>
      </c>
      <c r="F15" s="471"/>
      <c r="G15" s="471"/>
      <c r="H15" s="481" t="s">
        <v>58</v>
      </c>
      <c r="I15" s="482">
        <v>28682</v>
      </c>
      <c r="J15" s="483">
        <f>I15/$I$38</f>
        <v>0.15956162554588191</v>
      </c>
      <c r="K15" s="471"/>
      <c r="L15" s="471"/>
      <c r="M15" s="471"/>
      <c r="N15" s="381"/>
      <c r="O15" s="382"/>
      <c r="P15" s="382"/>
      <c r="Q15" s="382"/>
      <c r="R15" s="382"/>
      <c r="S15" s="382"/>
      <c r="T15" s="469"/>
      <c r="U15" s="382"/>
      <c r="V15" s="382"/>
      <c r="W15" s="382"/>
      <c r="X15" s="382"/>
      <c r="Y15" s="382"/>
      <c r="Z15" s="469"/>
      <c r="AA15" s="382"/>
      <c r="AB15" s="382"/>
      <c r="AC15" s="382"/>
      <c r="AD15" s="382"/>
      <c r="AE15" s="381"/>
      <c r="AF15" s="381"/>
      <c r="AG15" s="381"/>
      <c r="AH15" s="381"/>
      <c r="AI15" s="381"/>
      <c r="AJ15" s="381"/>
      <c r="AK15" s="381"/>
    </row>
    <row r="16" spans="2:37">
      <c r="B16" s="480">
        <v>2008</v>
      </c>
      <c r="C16" s="478">
        <v>60783</v>
      </c>
      <c r="D16" s="478">
        <v>66243</v>
      </c>
      <c r="E16" s="479">
        <v>127026</v>
      </c>
      <c r="F16" s="471"/>
      <c r="G16" s="471"/>
      <c r="H16" s="484" t="s">
        <v>70</v>
      </c>
      <c r="I16" s="485">
        <v>17163</v>
      </c>
      <c r="J16" s="483">
        <f t="shared" ref="J16:J38" si="0">I16/$I$38</f>
        <v>9.547995883285583E-2</v>
      </c>
      <c r="K16" s="471"/>
      <c r="L16" s="471"/>
      <c r="M16" s="471"/>
      <c r="N16" s="381"/>
      <c r="O16" s="382"/>
      <c r="P16" s="382"/>
      <c r="Q16" s="382"/>
      <c r="R16" s="382"/>
      <c r="S16" s="382"/>
      <c r="T16" s="469"/>
      <c r="U16" s="382"/>
      <c r="V16" s="382"/>
      <c r="W16" s="382"/>
      <c r="X16" s="382"/>
      <c r="Y16" s="382"/>
      <c r="Z16" s="469"/>
      <c r="AA16" s="382"/>
      <c r="AB16" s="382"/>
      <c r="AC16" s="382"/>
      <c r="AD16" s="382"/>
      <c r="AE16" s="381"/>
      <c r="AF16" s="381"/>
      <c r="AG16" s="381"/>
      <c r="AH16" s="381"/>
      <c r="AI16" s="381"/>
      <c r="AJ16" s="381"/>
      <c r="AK16" s="381"/>
    </row>
    <row r="17" spans="2:37">
      <c r="B17" s="480">
        <v>2009</v>
      </c>
      <c r="C17" s="478">
        <v>58987</v>
      </c>
      <c r="D17" s="478">
        <v>67096</v>
      </c>
      <c r="E17" s="479">
        <v>126083</v>
      </c>
      <c r="F17" s="471"/>
      <c r="G17" s="471"/>
      <c r="H17" s="484" t="s">
        <v>66</v>
      </c>
      <c r="I17" s="485">
        <v>16139</v>
      </c>
      <c r="J17" s="483">
        <f t="shared" si="0"/>
        <v>8.9783316180356593E-2</v>
      </c>
      <c r="K17" s="471"/>
      <c r="L17" s="471"/>
      <c r="M17" s="471"/>
      <c r="N17" s="381"/>
      <c r="O17" s="382"/>
      <c r="P17" s="382"/>
      <c r="Q17" s="382"/>
      <c r="R17" s="382"/>
      <c r="S17" s="382"/>
      <c r="T17" s="469"/>
      <c r="U17" s="382"/>
      <c r="V17" s="382"/>
      <c r="W17" s="382"/>
      <c r="X17" s="382"/>
      <c r="Y17" s="382"/>
      <c r="Z17" s="469"/>
      <c r="AA17" s="382"/>
      <c r="AB17" s="382"/>
      <c r="AC17" s="382"/>
      <c r="AD17" s="382"/>
      <c r="AE17" s="381"/>
      <c r="AF17" s="381"/>
      <c r="AG17" s="381"/>
      <c r="AH17" s="381"/>
      <c r="AI17" s="381"/>
      <c r="AJ17" s="381"/>
      <c r="AK17" s="381"/>
    </row>
    <row r="18" spans="2:37">
      <c r="B18" s="480">
        <v>2010</v>
      </c>
      <c r="C18" s="478">
        <v>67575</v>
      </c>
      <c r="D18" s="478">
        <v>97956</v>
      </c>
      <c r="E18" s="479">
        <v>165531</v>
      </c>
      <c r="F18" s="471"/>
      <c r="G18" s="471"/>
      <c r="H18" s="484" t="s">
        <v>65</v>
      </c>
      <c r="I18" s="485">
        <v>14753</v>
      </c>
      <c r="J18" s="483">
        <f t="shared" si="0"/>
        <v>8.2072821340157434E-2</v>
      </c>
      <c r="K18" s="471"/>
      <c r="L18" s="471"/>
      <c r="M18" s="471"/>
      <c r="N18" s="381"/>
      <c r="O18" s="382"/>
      <c r="P18" s="382"/>
      <c r="Q18" s="382"/>
      <c r="R18" s="382"/>
      <c r="S18" s="382"/>
      <c r="T18" s="469"/>
      <c r="U18" s="382"/>
      <c r="V18" s="382"/>
      <c r="W18" s="382"/>
      <c r="X18" s="382"/>
      <c r="Y18" s="382"/>
      <c r="Z18" s="469"/>
      <c r="AA18" s="382"/>
      <c r="AB18" s="382"/>
      <c r="AC18" s="382"/>
      <c r="AD18" s="382"/>
      <c r="AE18" s="381"/>
      <c r="AF18" s="381"/>
      <c r="AG18" s="381"/>
      <c r="AH18" s="381"/>
      <c r="AI18" s="381"/>
      <c r="AJ18" s="381"/>
      <c r="AK18" s="381"/>
    </row>
    <row r="19" spans="2:37">
      <c r="B19" s="480">
        <v>2011</v>
      </c>
      <c r="C19" s="478">
        <v>61263</v>
      </c>
      <c r="D19" s="478">
        <v>111882</v>
      </c>
      <c r="E19" s="479">
        <v>173145</v>
      </c>
      <c r="F19" s="471"/>
      <c r="G19" s="471"/>
      <c r="H19" s="484" t="s">
        <v>62</v>
      </c>
      <c r="I19" s="485">
        <v>14151</v>
      </c>
      <c r="J19" s="483">
        <f t="shared" si="0"/>
        <v>7.8723818530778006E-2</v>
      </c>
      <c r="K19" s="471"/>
      <c r="L19" s="471"/>
      <c r="M19" s="471"/>
      <c r="N19" s="381"/>
      <c r="O19" s="382"/>
      <c r="P19" s="382" t="s">
        <v>702</v>
      </c>
      <c r="Q19" s="382" t="s">
        <v>703</v>
      </c>
      <c r="R19" s="382"/>
      <c r="S19" s="382"/>
      <c r="T19" s="469"/>
      <c r="U19" s="382"/>
      <c r="V19" s="381"/>
      <c r="W19" s="381"/>
      <c r="X19" s="381"/>
      <c r="Y19" s="381"/>
      <c r="Z19" s="486"/>
      <c r="AA19" s="382"/>
      <c r="AB19" s="382"/>
      <c r="AC19" s="382"/>
      <c r="AD19" s="382"/>
      <c r="AE19" s="381"/>
      <c r="AF19" s="381"/>
      <c r="AG19" s="381"/>
      <c r="AH19" s="381"/>
      <c r="AI19" s="381"/>
      <c r="AJ19" s="381"/>
      <c r="AK19" s="381"/>
    </row>
    <row r="20" spans="2:37">
      <c r="B20" s="480">
        <v>2012</v>
      </c>
      <c r="C20" s="478">
        <v>68330</v>
      </c>
      <c r="D20" s="478">
        <v>139441</v>
      </c>
      <c r="E20" s="479">
        <v>207771</v>
      </c>
      <c r="F20" s="471"/>
      <c r="G20" s="471"/>
      <c r="H20" s="484" t="s">
        <v>64</v>
      </c>
      <c r="I20" s="485">
        <v>13562</v>
      </c>
      <c r="J20" s="483">
        <f t="shared" si="0"/>
        <v>7.5447136380072874E-2</v>
      </c>
      <c r="K20" s="471"/>
      <c r="L20" s="471"/>
      <c r="M20" s="471"/>
      <c r="N20" s="381"/>
      <c r="O20" s="382"/>
      <c r="P20" s="382" t="s">
        <v>704</v>
      </c>
      <c r="Q20" s="382" t="s">
        <v>719</v>
      </c>
      <c r="R20" s="382" t="s">
        <v>705</v>
      </c>
      <c r="S20" s="382" t="s">
        <v>407</v>
      </c>
      <c r="T20" s="469"/>
      <c r="U20" s="382"/>
      <c r="V20" s="487" t="s">
        <v>702</v>
      </c>
      <c r="W20" s="488"/>
      <c r="X20" s="487" t="s">
        <v>703</v>
      </c>
      <c r="Y20" s="489"/>
      <c r="Z20" s="486"/>
      <c r="AA20" s="382"/>
      <c r="AB20" s="382"/>
      <c r="AC20" s="382"/>
      <c r="AD20" s="382"/>
      <c r="AE20" s="381"/>
      <c r="AF20" s="381"/>
      <c r="AG20" s="381"/>
      <c r="AH20" s="381"/>
      <c r="AI20" s="381"/>
      <c r="AJ20" s="381"/>
      <c r="AK20" s="381"/>
    </row>
    <row r="21" spans="2:37">
      <c r="B21" s="480">
        <v>2013</v>
      </c>
      <c r="C21" s="478">
        <v>67949</v>
      </c>
      <c r="D21" s="478">
        <v>140433</v>
      </c>
      <c r="E21" s="479">
        <v>208382</v>
      </c>
      <c r="F21" s="471"/>
      <c r="G21" s="471"/>
      <c r="H21" s="484" t="s">
        <v>217</v>
      </c>
      <c r="I21" s="485">
        <v>12352</v>
      </c>
      <c r="J21" s="483">
        <f t="shared" si="0"/>
        <v>6.8715751995772026E-2</v>
      </c>
      <c r="K21" s="471"/>
      <c r="L21" s="471"/>
      <c r="M21" s="471"/>
      <c r="N21" s="381"/>
      <c r="O21" s="382"/>
      <c r="P21" s="382" t="s">
        <v>706</v>
      </c>
      <c r="Q21" s="470">
        <v>47501</v>
      </c>
      <c r="R21" s="470">
        <f>55295-X22</f>
        <v>55227</v>
      </c>
      <c r="S21" s="470">
        <v>102796</v>
      </c>
      <c r="T21" s="469"/>
      <c r="U21" s="382"/>
      <c r="V21" s="487" t="s">
        <v>515</v>
      </c>
      <c r="W21" s="487" t="s">
        <v>704</v>
      </c>
      <c r="X21" s="487" t="s">
        <v>705</v>
      </c>
      <c r="Y21" s="490" t="s">
        <v>407</v>
      </c>
      <c r="Z21" s="486"/>
      <c r="AA21" s="382"/>
      <c r="AB21" s="382"/>
      <c r="AC21" s="382"/>
      <c r="AD21" s="382"/>
      <c r="AE21" s="381"/>
      <c r="AF21" s="381"/>
      <c r="AG21" s="381"/>
      <c r="AH21" s="381"/>
      <c r="AI21" s="381"/>
      <c r="AJ21" s="381"/>
      <c r="AK21" s="381"/>
    </row>
    <row r="22" spans="2:37">
      <c r="B22" s="480">
        <v>2014</v>
      </c>
      <c r="C22" s="478">
        <v>63109.25</v>
      </c>
      <c r="D22" s="478">
        <v>132252</v>
      </c>
      <c r="E22" s="479">
        <v>195361.33333333334</v>
      </c>
      <c r="F22" s="471"/>
      <c r="G22" s="471"/>
      <c r="H22" s="484" t="s">
        <v>57</v>
      </c>
      <c r="I22" s="485">
        <v>11180</v>
      </c>
      <c r="J22" s="483">
        <f t="shared" si="0"/>
        <v>6.219576645990376E-2</v>
      </c>
      <c r="K22" s="471"/>
      <c r="L22" s="471"/>
      <c r="M22" s="471"/>
      <c r="N22" s="381"/>
      <c r="O22" s="382"/>
      <c r="P22" s="382" t="s">
        <v>709</v>
      </c>
      <c r="Q22" s="470">
        <v>57591</v>
      </c>
      <c r="R22" s="470">
        <f>63607-Y23</f>
        <v>63545</v>
      </c>
      <c r="S22" s="470">
        <v>121198</v>
      </c>
      <c r="T22" s="469"/>
      <c r="U22" s="382"/>
      <c r="V22" s="487" t="s">
        <v>559</v>
      </c>
      <c r="W22" s="487" t="s">
        <v>706</v>
      </c>
      <c r="X22" s="491">
        <v>68</v>
      </c>
      <c r="Y22" s="492">
        <v>68</v>
      </c>
      <c r="Z22" s="486"/>
      <c r="AA22" s="382"/>
      <c r="AB22" s="382"/>
      <c r="AC22" s="382"/>
      <c r="AD22" s="382"/>
      <c r="AE22" s="381"/>
      <c r="AF22" s="381"/>
      <c r="AG22" s="381"/>
      <c r="AH22" s="381"/>
      <c r="AI22" s="381"/>
      <c r="AJ22" s="381"/>
      <c r="AK22" s="381"/>
    </row>
    <row r="23" spans="2:37">
      <c r="B23" s="480">
        <v>2015</v>
      </c>
      <c r="C23" s="478">
        <v>62729.454545454544</v>
      </c>
      <c r="D23" s="478">
        <v>132975.36363636365</v>
      </c>
      <c r="E23" s="479">
        <v>195704.81818181818</v>
      </c>
      <c r="F23" s="471"/>
      <c r="G23" s="471"/>
      <c r="H23" s="484" t="s">
        <v>61</v>
      </c>
      <c r="I23" s="485">
        <v>7874</v>
      </c>
      <c r="J23" s="483">
        <f t="shared" si="0"/>
        <v>4.3804066646268534E-2</v>
      </c>
      <c r="K23" s="471"/>
      <c r="L23" s="471"/>
      <c r="M23" s="471"/>
      <c r="N23" s="381"/>
      <c r="O23" s="382"/>
      <c r="P23" s="382" t="s">
        <v>710</v>
      </c>
      <c r="Q23" s="470">
        <v>60474</v>
      </c>
      <c r="R23" s="470">
        <f>81920-Y24</f>
        <v>60983</v>
      </c>
      <c r="S23" s="470">
        <v>142394</v>
      </c>
      <c r="T23" s="469"/>
      <c r="U23" s="382"/>
      <c r="V23" s="493"/>
      <c r="W23" s="494" t="s">
        <v>709</v>
      </c>
      <c r="X23" s="495">
        <v>62</v>
      </c>
      <c r="Y23" s="496">
        <v>62</v>
      </c>
      <c r="Z23" s="486"/>
      <c r="AA23" s="382"/>
      <c r="AB23" s="382"/>
      <c r="AC23" s="382"/>
      <c r="AD23" s="382"/>
      <c r="AE23" s="381"/>
      <c r="AF23" s="381"/>
      <c r="AG23" s="381"/>
      <c r="AH23" s="381"/>
      <c r="AI23" s="381"/>
      <c r="AJ23" s="381"/>
      <c r="AK23" s="381"/>
    </row>
    <row r="24" spans="2:37">
      <c r="B24" s="480">
        <v>2016</v>
      </c>
      <c r="C24" s="478">
        <v>61873</v>
      </c>
      <c r="D24" s="478">
        <v>112253.41666666667</v>
      </c>
      <c r="E24" s="479">
        <v>174126.41666666666</v>
      </c>
      <c r="F24" s="471"/>
      <c r="G24" s="471"/>
      <c r="H24" s="484" t="s">
        <v>60</v>
      </c>
      <c r="I24" s="485">
        <v>7824</v>
      </c>
      <c r="J24" s="483">
        <f t="shared" si="0"/>
        <v>4.3525910266751969E-2</v>
      </c>
      <c r="K24" s="471"/>
      <c r="L24" s="471"/>
      <c r="M24" s="471"/>
      <c r="N24" s="381"/>
      <c r="O24" s="382"/>
      <c r="P24" s="382" t="s">
        <v>407</v>
      </c>
      <c r="Q24" s="470">
        <f>SUM(Q21:Q23)</f>
        <v>165566</v>
      </c>
      <c r="R24" s="470">
        <f>SUM(R21:R23)</f>
        <v>179755</v>
      </c>
      <c r="S24" s="470">
        <v>366388</v>
      </c>
      <c r="T24" s="469"/>
      <c r="U24" s="382"/>
      <c r="V24" s="493"/>
      <c r="W24" s="494" t="s">
        <v>710</v>
      </c>
      <c r="X24" s="495">
        <v>20937</v>
      </c>
      <c r="Y24" s="496">
        <v>20937</v>
      </c>
      <c r="Z24" s="486"/>
      <c r="AA24" s="382"/>
      <c r="AB24" s="382"/>
      <c r="AC24" s="382"/>
      <c r="AD24" s="382"/>
      <c r="AE24" s="381"/>
      <c r="AF24" s="381"/>
      <c r="AG24" s="381"/>
      <c r="AH24" s="381"/>
      <c r="AI24" s="381"/>
      <c r="AJ24" s="381"/>
      <c r="AK24" s="381"/>
    </row>
    <row r="25" spans="2:37" ht="15.75" thickBot="1">
      <c r="B25" s="497"/>
      <c r="C25" s="497"/>
      <c r="D25" s="497"/>
      <c r="E25" s="497"/>
      <c r="F25" s="498"/>
      <c r="G25" s="471"/>
      <c r="H25" s="484" t="s">
        <v>59</v>
      </c>
      <c r="I25" s="485">
        <v>7685</v>
      </c>
      <c r="J25" s="483">
        <f t="shared" si="0"/>
        <v>4.2752635531695921E-2</v>
      </c>
      <c r="K25" s="471"/>
      <c r="L25" s="471"/>
      <c r="M25" s="471"/>
      <c r="N25" s="381"/>
      <c r="O25" s="382"/>
      <c r="P25" s="382"/>
      <c r="Q25" s="382"/>
      <c r="R25" s="382"/>
      <c r="S25" s="382"/>
      <c r="T25" s="469"/>
      <c r="U25" s="382"/>
      <c r="V25" s="487" t="s">
        <v>561</v>
      </c>
      <c r="W25" s="488"/>
      <c r="X25" s="491">
        <v>21067</v>
      </c>
      <c r="Y25" s="492">
        <v>21067</v>
      </c>
      <c r="Z25" s="486"/>
      <c r="AA25" s="382"/>
      <c r="AB25" s="382"/>
      <c r="AC25" s="382"/>
      <c r="AD25" s="382"/>
      <c r="AE25" s="381"/>
      <c r="AF25" s="381"/>
      <c r="AG25" s="381"/>
      <c r="AH25" s="381"/>
      <c r="AI25" s="381"/>
      <c r="AJ25" s="381"/>
      <c r="AK25" s="381"/>
    </row>
    <row r="26" spans="2:37" ht="15.75" thickBot="1">
      <c r="B26" s="499">
        <v>2017</v>
      </c>
      <c r="C26" s="500">
        <v>61029.75</v>
      </c>
      <c r="D26" s="500">
        <v>114837.75</v>
      </c>
      <c r="E26" s="500">
        <v>175867.5</v>
      </c>
      <c r="F26" s="498"/>
      <c r="G26" s="471"/>
      <c r="H26" s="484" t="s">
        <v>63</v>
      </c>
      <c r="I26" s="485">
        <v>7458</v>
      </c>
      <c r="J26" s="483">
        <f t="shared" si="0"/>
        <v>4.1489805568690717E-2</v>
      </c>
      <c r="K26" s="471"/>
      <c r="L26" s="471"/>
      <c r="M26" s="471"/>
      <c r="N26" s="381"/>
      <c r="O26" s="382"/>
      <c r="P26" s="382"/>
      <c r="Q26" s="603" t="s">
        <v>720</v>
      </c>
      <c r="R26" s="603"/>
      <c r="S26" s="382"/>
      <c r="T26" s="469"/>
      <c r="U26" s="382"/>
      <c r="V26" s="501" t="s">
        <v>407</v>
      </c>
      <c r="W26" s="502"/>
      <c r="X26" s="503">
        <v>21067</v>
      </c>
      <c r="Y26" s="504">
        <v>21067</v>
      </c>
      <c r="Z26" s="486"/>
      <c r="AA26" s="382"/>
      <c r="AB26" s="382"/>
      <c r="AC26" s="382"/>
      <c r="AD26" s="382"/>
      <c r="AE26" s="381"/>
      <c r="AF26" s="381"/>
      <c r="AG26" s="381"/>
      <c r="AH26" s="381"/>
      <c r="AI26" s="381"/>
      <c r="AJ26" s="381"/>
      <c r="AK26" s="381"/>
    </row>
    <row r="27" spans="2:37" ht="15.75" thickBot="1">
      <c r="B27" s="505" t="s">
        <v>685</v>
      </c>
      <c r="C27" s="506">
        <v>60771</v>
      </c>
      <c r="D27" s="506">
        <v>115697</v>
      </c>
      <c r="E27" s="507">
        <v>176468</v>
      </c>
      <c r="F27" s="498"/>
      <c r="G27" s="471"/>
      <c r="H27" s="484" t="s">
        <v>71</v>
      </c>
      <c r="I27" s="485">
        <v>6845</v>
      </c>
      <c r="J27" s="483">
        <f t="shared" si="0"/>
        <v>3.807960835581764E-2</v>
      </c>
      <c r="K27" s="471"/>
      <c r="L27" s="471"/>
      <c r="M27" s="471"/>
      <c r="N27" s="381"/>
      <c r="O27" s="382"/>
      <c r="P27" s="382"/>
      <c r="Q27" s="508">
        <v>2016</v>
      </c>
      <c r="R27" s="508">
        <v>2017</v>
      </c>
      <c r="S27" s="382"/>
      <c r="T27" s="469"/>
      <c r="U27" s="382"/>
      <c r="V27" s="381"/>
      <c r="W27" s="381"/>
      <c r="X27" s="381"/>
      <c r="Y27" s="381"/>
      <c r="Z27" s="486"/>
      <c r="AA27" s="382"/>
      <c r="AB27" s="382"/>
      <c r="AC27" s="382"/>
      <c r="AD27" s="382"/>
      <c r="AE27" s="381"/>
      <c r="AF27" s="381"/>
      <c r="AG27" s="381"/>
      <c r="AH27" s="381"/>
      <c r="AI27" s="381"/>
      <c r="AJ27" s="381"/>
      <c r="AK27" s="381"/>
    </row>
    <row r="28" spans="2:37" ht="15.75" thickBot="1">
      <c r="B28" s="505" t="s">
        <v>391</v>
      </c>
      <c r="C28" s="506">
        <v>61125</v>
      </c>
      <c r="D28" s="506">
        <v>115482</v>
      </c>
      <c r="E28" s="507">
        <v>176607</v>
      </c>
      <c r="F28" s="471"/>
      <c r="G28" s="471"/>
      <c r="H28" s="484" t="s">
        <v>68</v>
      </c>
      <c r="I28" s="485">
        <v>4948</v>
      </c>
      <c r="J28" s="483">
        <f t="shared" si="0"/>
        <v>2.7526355316959194E-2</v>
      </c>
      <c r="K28" s="471"/>
      <c r="L28" s="471"/>
      <c r="M28" s="471"/>
      <c r="N28" s="381"/>
      <c r="O28" s="382"/>
      <c r="P28" s="382" t="s">
        <v>717</v>
      </c>
      <c r="Q28" s="470">
        <f>Q21+Q22</f>
        <v>105092</v>
      </c>
      <c r="R28" s="470">
        <f>R21+R22</f>
        <v>118772</v>
      </c>
      <c r="S28" s="382"/>
      <c r="T28" s="469"/>
      <c r="U28" s="382"/>
      <c r="V28" s="382"/>
      <c r="W28" s="382"/>
      <c r="X28" s="382"/>
      <c r="Y28" s="382"/>
      <c r="Z28" s="469"/>
      <c r="AA28" s="382"/>
      <c r="AB28" s="382"/>
      <c r="AC28" s="382"/>
      <c r="AD28" s="382"/>
      <c r="AE28" s="381"/>
      <c r="AF28" s="381"/>
      <c r="AG28" s="381"/>
      <c r="AH28" s="381"/>
      <c r="AI28" s="381"/>
      <c r="AJ28" s="381"/>
      <c r="AK28" s="381"/>
    </row>
    <row r="29" spans="2:37" ht="15.75" thickBot="1">
      <c r="B29" s="505" t="s">
        <v>396</v>
      </c>
      <c r="C29" s="506">
        <v>61098</v>
      </c>
      <c r="D29" s="506">
        <v>112690</v>
      </c>
      <c r="E29" s="507">
        <v>173788</v>
      </c>
      <c r="F29" s="509"/>
      <c r="G29" s="471"/>
      <c r="H29" s="484" t="s">
        <v>67</v>
      </c>
      <c r="I29" s="485">
        <v>3783</v>
      </c>
      <c r="J29" s="483">
        <f t="shared" si="0"/>
        <v>2.1045311674223247E-2</v>
      </c>
      <c r="K29" s="471"/>
      <c r="L29" s="471"/>
      <c r="M29" s="471"/>
      <c r="N29" s="381"/>
      <c r="O29" s="382"/>
      <c r="P29" s="382" t="s">
        <v>718</v>
      </c>
      <c r="Q29" s="470">
        <f>Q23</f>
        <v>60474</v>
      </c>
      <c r="R29" s="470">
        <f>R23</f>
        <v>60983</v>
      </c>
      <c r="S29" s="382"/>
      <c r="T29" s="469"/>
      <c r="U29" s="382"/>
      <c r="V29" s="382"/>
      <c r="W29" s="382"/>
      <c r="X29" s="382"/>
      <c r="Y29" s="382"/>
      <c r="Z29" s="469"/>
      <c r="AA29" s="382"/>
      <c r="AB29" s="382"/>
      <c r="AC29" s="382"/>
      <c r="AD29" s="382"/>
      <c r="AE29" s="381"/>
      <c r="AF29" s="381"/>
      <c r="AG29" s="381"/>
      <c r="AH29" s="381"/>
      <c r="AI29" s="381"/>
      <c r="AJ29" s="381"/>
      <c r="AK29" s="381"/>
    </row>
    <row r="30" spans="2:37" ht="15.75" thickBot="1">
      <c r="B30" s="505" t="s">
        <v>420</v>
      </c>
      <c r="C30" s="506">
        <v>61125</v>
      </c>
      <c r="D30" s="506">
        <v>115482</v>
      </c>
      <c r="E30" s="507">
        <v>176607</v>
      </c>
      <c r="F30" s="509"/>
      <c r="G30" s="471"/>
      <c r="H30" s="484" t="s">
        <v>355</v>
      </c>
      <c r="I30" s="485">
        <v>2406</v>
      </c>
      <c r="J30" s="483">
        <f t="shared" si="0"/>
        <v>1.3384884982337071E-2</v>
      </c>
      <c r="K30" s="471"/>
      <c r="L30" s="471"/>
      <c r="M30" s="471"/>
      <c r="N30" s="381"/>
      <c r="O30" s="382"/>
      <c r="P30" s="382"/>
      <c r="Q30" s="382"/>
      <c r="R30" s="382"/>
      <c r="S30" s="382"/>
      <c r="T30" s="469"/>
      <c r="U30" s="382"/>
      <c r="V30" s="382"/>
      <c r="W30" s="382"/>
      <c r="X30" s="382"/>
      <c r="Y30" s="382"/>
      <c r="Z30" s="469"/>
      <c r="AA30" s="382"/>
      <c r="AB30" s="382"/>
      <c r="AC30" s="382"/>
      <c r="AD30" s="382"/>
      <c r="AE30" s="381"/>
      <c r="AF30" s="381"/>
      <c r="AG30" s="381"/>
      <c r="AH30" s="381"/>
      <c r="AI30" s="381"/>
      <c r="AJ30" s="381"/>
      <c r="AK30" s="381"/>
    </row>
    <row r="31" spans="2:37">
      <c r="B31" s="505" t="s">
        <v>695</v>
      </c>
      <c r="C31" s="506">
        <v>60983</v>
      </c>
      <c r="D31" s="506">
        <v>118772</v>
      </c>
      <c r="E31" s="507">
        <f>SUM(C31:D31)</f>
        <v>179755</v>
      </c>
      <c r="F31" s="509"/>
      <c r="G31" s="471"/>
      <c r="H31" s="484" t="s">
        <v>69</v>
      </c>
      <c r="I31" s="485">
        <v>2064</v>
      </c>
      <c r="J31" s="483">
        <f t="shared" si="0"/>
        <v>1.1482295346443771E-2</v>
      </c>
      <c r="K31" s="471"/>
      <c r="L31" s="471"/>
      <c r="M31" s="471"/>
      <c r="N31" s="381"/>
      <c r="O31" s="382"/>
      <c r="P31" s="382"/>
      <c r="Q31" s="382"/>
      <c r="R31" s="382"/>
      <c r="S31" s="382"/>
      <c r="T31" s="469"/>
      <c r="U31" s="382"/>
      <c r="V31" s="382"/>
      <c r="W31" s="382"/>
      <c r="X31" s="382"/>
      <c r="Y31" s="382"/>
      <c r="Z31" s="469"/>
      <c r="AA31" s="382"/>
      <c r="AB31" s="382"/>
      <c r="AC31" s="382"/>
      <c r="AD31" s="382"/>
      <c r="AE31" s="381"/>
      <c r="AF31" s="381"/>
      <c r="AG31" s="381"/>
      <c r="AH31" s="381"/>
      <c r="AI31" s="381"/>
      <c r="AJ31" s="381"/>
      <c r="AK31" s="381"/>
    </row>
    <row r="32" spans="2:37">
      <c r="B32" s="471"/>
      <c r="C32" s="471"/>
      <c r="D32" s="471"/>
      <c r="E32" s="471"/>
      <c r="F32" s="471"/>
      <c r="G32" s="471"/>
      <c r="H32" s="484" t="s">
        <v>46</v>
      </c>
      <c r="I32" s="485">
        <v>686</v>
      </c>
      <c r="J32" s="483">
        <f t="shared" si="0"/>
        <v>3.8163055269672609E-3</v>
      </c>
      <c r="K32" s="471"/>
      <c r="L32" s="471"/>
      <c r="M32" s="471"/>
      <c r="N32" s="381"/>
      <c r="O32" s="382"/>
      <c r="P32" s="382"/>
      <c r="Q32" s="382"/>
      <c r="R32" s="382"/>
      <c r="S32" s="382"/>
      <c r="T32" s="469"/>
      <c r="U32" s="382"/>
      <c r="V32" s="382"/>
      <c r="W32" s="382"/>
      <c r="X32" s="382"/>
      <c r="Y32" s="382"/>
      <c r="Z32" s="469"/>
      <c r="AA32" s="382"/>
      <c r="AB32" s="382"/>
      <c r="AC32" s="382"/>
      <c r="AD32" s="382"/>
      <c r="AE32" s="381"/>
      <c r="AF32" s="381"/>
      <c r="AG32" s="381"/>
      <c r="AH32" s="381"/>
      <c r="AI32" s="381"/>
      <c r="AJ32" s="381"/>
      <c r="AK32" s="381"/>
    </row>
    <row r="33" spans="2:37">
      <c r="B33" s="471"/>
      <c r="C33" s="471"/>
      <c r="D33" s="471"/>
      <c r="E33" s="471"/>
      <c r="F33" s="471"/>
      <c r="G33" s="471"/>
      <c r="H33" s="484" t="s">
        <v>538</v>
      </c>
      <c r="I33" s="485">
        <v>99</v>
      </c>
      <c r="J33" s="483">
        <f t="shared" si="0"/>
        <v>5.5074963144279715E-4</v>
      </c>
      <c r="K33" s="471"/>
      <c r="L33" s="471"/>
      <c r="M33" s="471"/>
      <c r="N33" s="381"/>
      <c r="O33" s="382"/>
      <c r="P33" s="382"/>
      <c r="Q33" s="382"/>
      <c r="R33" s="382"/>
      <c r="S33" s="382"/>
      <c r="T33" s="469"/>
      <c r="U33" s="382"/>
      <c r="V33" s="382"/>
      <c r="W33" s="382"/>
      <c r="X33" s="382"/>
      <c r="Y33" s="382"/>
      <c r="Z33" s="469"/>
      <c r="AA33" s="382"/>
      <c r="AB33" s="382"/>
      <c r="AC33" s="382"/>
      <c r="AD33" s="382"/>
      <c r="AE33" s="381"/>
      <c r="AF33" s="381"/>
      <c r="AG33" s="381"/>
      <c r="AH33" s="381"/>
      <c r="AI33" s="381"/>
      <c r="AJ33" s="381"/>
      <c r="AK33" s="381"/>
    </row>
    <row r="34" spans="2:37">
      <c r="B34" s="471"/>
      <c r="C34" s="471"/>
      <c r="D34" s="471"/>
      <c r="E34" s="471"/>
      <c r="F34" s="471"/>
      <c r="G34" s="471"/>
      <c r="H34" s="484" t="s">
        <v>540</v>
      </c>
      <c r="I34" s="485">
        <v>56</v>
      </c>
      <c r="J34" s="483">
        <f t="shared" si="0"/>
        <v>3.1153514505855191E-4</v>
      </c>
      <c r="K34" s="471"/>
      <c r="L34" s="471"/>
      <c r="M34" s="471"/>
      <c r="N34" s="381"/>
      <c r="O34" s="382"/>
      <c r="P34" s="382" t="s">
        <v>702</v>
      </c>
      <c r="Q34" s="382" t="s">
        <v>703</v>
      </c>
      <c r="R34" s="382"/>
      <c r="S34" s="382"/>
      <c r="T34" s="469"/>
      <c r="U34" s="382"/>
      <c r="V34" s="382"/>
      <c r="W34" s="382"/>
      <c r="X34" s="382"/>
      <c r="Y34" s="382"/>
      <c r="Z34" s="469"/>
      <c r="AA34" s="382"/>
      <c r="AB34" s="382"/>
      <c r="AC34" s="382"/>
      <c r="AD34" s="382"/>
      <c r="AE34" s="381"/>
      <c r="AF34" s="381"/>
      <c r="AG34" s="381"/>
      <c r="AH34" s="381"/>
      <c r="AI34" s="381"/>
      <c r="AJ34" s="381"/>
      <c r="AK34" s="381"/>
    </row>
    <row r="35" spans="2:37">
      <c r="B35" s="474" t="s">
        <v>686</v>
      </c>
      <c r="C35" s="510"/>
      <c r="D35" s="510"/>
      <c r="E35" s="510"/>
      <c r="F35" s="471"/>
      <c r="G35" s="471"/>
      <c r="H35" s="484" t="s">
        <v>537</v>
      </c>
      <c r="I35" s="485">
        <v>19</v>
      </c>
      <c r="J35" s="483">
        <f t="shared" si="0"/>
        <v>1.056994242162944E-4</v>
      </c>
      <c r="K35" s="471"/>
      <c r="L35" s="471"/>
      <c r="M35" s="471"/>
      <c r="N35" s="381"/>
      <c r="O35" s="382"/>
      <c r="P35" s="382" t="s">
        <v>530</v>
      </c>
      <c r="Q35" s="382" t="s">
        <v>705</v>
      </c>
      <c r="R35" s="382"/>
      <c r="S35" s="530" t="s">
        <v>531</v>
      </c>
      <c r="T35" s="469" t="s">
        <v>721</v>
      </c>
      <c r="U35" s="382"/>
      <c r="V35" s="382" t="s">
        <v>530</v>
      </c>
      <c r="W35" s="382" t="s">
        <v>705</v>
      </c>
      <c r="X35" s="382"/>
      <c r="Y35" s="531" t="s">
        <v>721</v>
      </c>
      <c r="Z35" s="511"/>
      <c r="AA35" s="381"/>
      <c r="AB35" s="381"/>
      <c r="AC35" s="381"/>
      <c r="AD35" s="381"/>
      <c r="AE35" s="381"/>
      <c r="AF35" s="381"/>
      <c r="AG35" s="381"/>
      <c r="AH35" s="381"/>
      <c r="AI35" s="381"/>
      <c r="AJ35" s="381"/>
      <c r="AK35" s="381"/>
    </row>
    <row r="36" spans="2:37" ht="15" customHeight="1">
      <c r="B36" s="604" t="s">
        <v>722</v>
      </c>
      <c r="C36" s="604"/>
      <c r="D36" s="604"/>
      <c r="E36" s="604"/>
      <c r="F36" s="471"/>
      <c r="G36" s="471"/>
      <c r="H36" s="484" t="s">
        <v>534</v>
      </c>
      <c r="I36" s="485">
        <v>14</v>
      </c>
      <c r="J36" s="483">
        <f t="shared" si="0"/>
        <v>7.7883786264637978E-5</v>
      </c>
      <c r="K36" s="471"/>
      <c r="L36" s="471"/>
      <c r="M36" s="471"/>
      <c r="N36" s="381"/>
      <c r="O36" s="382"/>
      <c r="P36" s="382" t="s">
        <v>534</v>
      </c>
      <c r="Q36" s="470">
        <v>14</v>
      </c>
      <c r="R36" s="382"/>
      <c r="S36" s="512" t="s">
        <v>66</v>
      </c>
      <c r="T36" s="469">
        <v>37206</v>
      </c>
      <c r="U36" s="382"/>
      <c r="V36" s="512" t="s">
        <v>66</v>
      </c>
      <c r="W36" s="469">
        <f>37206-Y26</f>
        <v>16139</v>
      </c>
      <c r="X36" s="382"/>
      <c r="Y36" s="531" t="s">
        <v>530</v>
      </c>
      <c r="Z36" s="511" t="s">
        <v>681</v>
      </c>
      <c r="AA36" s="381"/>
      <c r="AB36" s="381"/>
      <c r="AC36" s="381"/>
      <c r="AD36" s="381"/>
      <c r="AE36" s="381"/>
      <c r="AF36" s="381"/>
      <c r="AG36" s="381"/>
      <c r="AH36" s="381"/>
      <c r="AI36" s="381"/>
      <c r="AJ36" s="381"/>
      <c r="AK36" s="381"/>
    </row>
    <row r="37" spans="2:37">
      <c r="B37" s="476" t="s">
        <v>0</v>
      </c>
      <c r="C37" s="476" t="s">
        <v>679</v>
      </c>
      <c r="D37" s="476" t="s">
        <v>680</v>
      </c>
      <c r="E37" s="476" t="s">
        <v>681</v>
      </c>
      <c r="F37" s="471"/>
      <c r="G37" s="471"/>
      <c r="H37" s="484" t="s">
        <v>539</v>
      </c>
      <c r="I37" s="485">
        <v>12</v>
      </c>
      <c r="J37" s="483">
        <f t="shared" si="0"/>
        <v>6.6757531083975406E-5</v>
      </c>
      <c r="K37" s="471"/>
      <c r="L37" s="471"/>
      <c r="M37" s="471"/>
      <c r="N37" s="381"/>
      <c r="O37" s="382"/>
      <c r="P37" s="382" t="s">
        <v>57</v>
      </c>
      <c r="Q37" s="470">
        <f>R65+11167</f>
        <v>11180</v>
      </c>
      <c r="R37" s="382"/>
      <c r="S37" s="512" t="s">
        <v>58</v>
      </c>
      <c r="T37" s="469">
        <v>28682</v>
      </c>
      <c r="U37" s="382"/>
      <c r="V37" s="512" t="s">
        <v>58</v>
      </c>
      <c r="W37" s="469">
        <v>28682</v>
      </c>
      <c r="X37" s="382"/>
      <c r="Y37" s="487" t="s">
        <v>58</v>
      </c>
      <c r="Z37" s="511">
        <v>28682</v>
      </c>
      <c r="AA37" s="381"/>
      <c r="AB37" s="381"/>
      <c r="AC37" s="381"/>
      <c r="AD37" s="381"/>
      <c r="AE37" s="381"/>
      <c r="AF37" s="381"/>
      <c r="AG37" s="381"/>
      <c r="AH37" s="381"/>
      <c r="AI37" s="381"/>
      <c r="AJ37" s="381"/>
      <c r="AK37" s="381"/>
    </row>
    <row r="38" spans="2:37">
      <c r="B38" s="513">
        <v>2017</v>
      </c>
      <c r="C38" s="506">
        <v>60983</v>
      </c>
      <c r="D38" s="506">
        <v>118772</v>
      </c>
      <c r="E38" s="507">
        <f>SUM(C38:D38)</f>
        <v>179755</v>
      </c>
      <c r="F38" s="471"/>
      <c r="G38" s="471"/>
      <c r="H38" s="455" t="s">
        <v>407</v>
      </c>
      <c r="I38" s="514">
        <f>SUM(I15:I37)</f>
        <v>179755</v>
      </c>
      <c r="J38" s="483">
        <f t="shared" si="0"/>
        <v>1</v>
      </c>
      <c r="K38" s="471"/>
      <c r="L38" s="471"/>
      <c r="M38" s="471"/>
      <c r="N38" s="381"/>
      <c r="O38" s="382"/>
      <c r="P38" s="382" t="s">
        <v>217</v>
      </c>
      <c r="Q38" s="470">
        <f>R69+12311</f>
        <v>12352</v>
      </c>
      <c r="R38" s="382"/>
      <c r="S38" s="512" t="s">
        <v>70</v>
      </c>
      <c r="T38" s="469">
        <v>17163</v>
      </c>
      <c r="U38" s="382"/>
      <c r="V38" s="512" t="s">
        <v>70</v>
      </c>
      <c r="W38" s="469">
        <v>17163</v>
      </c>
      <c r="X38" s="382"/>
      <c r="Y38" s="494" t="s">
        <v>70</v>
      </c>
      <c r="Z38" s="515">
        <v>17163</v>
      </c>
      <c r="AA38" s="381"/>
      <c r="AB38" s="381"/>
      <c r="AC38" s="381"/>
      <c r="AD38" s="381"/>
      <c r="AE38" s="381"/>
      <c r="AF38" s="381"/>
      <c r="AG38" s="381"/>
      <c r="AH38" s="381"/>
      <c r="AI38" s="381"/>
      <c r="AJ38" s="381"/>
      <c r="AK38" s="381"/>
    </row>
    <row r="39" spans="2:37">
      <c r="B39" s="513">
        <v>2016</v>
      </c>
      <c r="C39" s="478">
        <v>60474</v>
      </c>
      <c r="D39" s="478">
        <v>105092</v>
      </c>
      <c r="E39" s="479">
        <v>165566</v>
      </c>
      <c r="F39" s="471"/>
      <c r="G39" s="471"/>
      <c r="H39" s="471"/>
      <c r="I39" s="471"/>
      <c r="J39" s="471"/>
      <c r="K39" s="471"/>
      <c r="L39" s="471"/>
      <c r="M39" s="471"/>
      <c r="N39" s="381"/>
      <c r="O39" s="382"/>
      <c r="P39" s="382" t="s">
        <v>58</v>
      </c>
      <c r="Q39" s="470">
        <f>R71+28666</f>
        <v>28682</v>
      </c>
      <c r="R39" s="382"/>
      <c r="S39" s="512" t="s">
        <v>65</v>
      </c>
      <c r="T39" s="469">
        <v>14753</v>
      </c>
      <c r="U39" s="382"/>
      <c r="V39" s="512" t="s">
        <v>65</v>
      </c>
      <c r="W39" s="469">
        <v>14753</v>
      </c>
      <c r="X39" s="382"/>
      <c r="Y39" s="494" t="s">
        <v>66</v>
      </c>
      <c r="Z39" s="515">
        <v>16139</v>
      </c>
      <c r="AA39" s="381"/>
      <c r="AB39" s="381"/>
      <c r="AC39" s="381"/>
      <c r="AD39" s="381"/>
      <c r="AE39" s="381"/>
      <c r="AF39" s="381"/>
      <c r="AG39" s="381"/>
      <c r="AH39" s="381"/>
      <c r="AI39" s="381"/>
      <c r="AJ39" s="381"/>
      <c r="AK39" s="381"/>
    </row>
    <row r="40" spans="2:37">
      <c r="B40" s="516" t="s">
        <v>38</v>
      </c>
      <c r="C40" s="517">
        <f>C38/C39-1</f>
        <v>8.416840295002892E-3</v>
      </c>
      <c r="D40" s="518">
        <f>D38/D39-1</f>
        <v>0.13017165911772532</v>
      </c>
      <c r="E40" s="517">
        <f>E38/E39-1</f>
        <v>8.5699962552697961E-2</v>
      </c>
      <c r="F40" s="519"/>
      <c r="G40" s="471"/>
      <c r="H40" s="471"/>
      <c r="I40" s="471"/>
      <c r="J40" s="471"/>
      <c r="K40" s="471"/>
      <c r="L40" s="471"/>
      <c r="M40" s="471"/>
      <c r="N40" s="381"/>
      <c r="O40" s="382"/>
      <c r="P40" s="382" t="s">
        <v>71</v>
      </c>
      <c r="Q40" s="470">
        <v>6845</v>
      </c>
      <c r="R40" s="382"/>
      <c r="S40" s="512" t="s">
        <v>62</v>
      </c>
      <c r="T40" s="469">
        <v>14151</v>
      </c>
      <c r="U40" s="382"/>
      <c r="V40" s="512" t="s">
        <v>62</v>
      </c>
      <c r="W40" s="469">
        <v>14151</v>
      </c>
      <c r="X40" s="382"/>
      <c r="Y40" s="494" t="s">
        <v>65</v>
      </c>
      <c r="Z40" s="515">
        <v>14753</v>
      </c>
      <c r="AA40" s="381"/>
      <c r="AB40" s="381"/>
      <c r="AC40" s="381"/>
      <c r="AD40" s="381"/>
      <c r="AE40" s="381"/>
      <c r="AF40" s="381"/>
      <c r="AG40" s="381"/>
      <c r="AH40" s="381"/>
      <c r="AI40" s="381"/>
      <c r="AJ40" s="381"/>
      <c r="AK40" s="381"/>
    </row>
    <row r="41" spans="2:37">
      <c r="B41" s="471"/>
      <c r="C41" s="471"/>
      <c r="D41" s="471"/>
      <c r="E41" s="471"/>
      <c r="F41" s="471"/>
      <c r="G41" s="471"/>
      <c r="H41" s="471"/>
      <c r="I41" s="471"/>
      <c r="J41" s="471"/>
      <c r="K41" s="471"/>
      <c r="L41" s="471"/>
      <c r="M41" s="471"/>
      <c r="N41" s="381"/>
      <c r="O41" s="382"/>
      <c r="P41" s="382" t="s">
        <v>64</v>
      </c>
      <c r="Q41" s="470">
        <v>13562</v>
      </c>
      <c r="R41" s="382"/>
      <c r="S41" s="512" t="s">
        <v>64</v>
      </c>
      <c r="T41" s="469">
        <v>13562</v>
      </c>
      <c r="U41" s="382"/>
      <c r="V41" s="512" t="s">
        <v>64</v>
      </c>
      <c r="W41" s="469">
        <v>13562</v>
      </c>
      <c r="X41" s="382"/>
      <c r="Y41" s="494" t="s">
        <v>62</v>
      </c>
      <c r="Z41" s="515">
        <v>14151</v>
      </c>
      <c r="AA41" s="381"/>
      <c r="AB41" s="381"/>
      <c r="AC41" s="381"/>
      <c r="AD41" s="381"/>
      <c r="AE41" s="381"/>
      <c r="AF41" s="381"/>
      <c r="AG41" s="381"/>
      <c r="AH41" s="381"/>
      <c r="AI41" s="381"/>
      <c r="AJ41" s="381"/>
      <c r="AK41" s="381"/>
    </row>
    <row r="42" spans="2:37">
      <c r="B42" s="471"/>
      <c r="C42" s="478"/>
      <c r="D42" s="478"/>
      <c r="E42" s="479"/>
      <c r="F42" s="471"/>
      <c r="G42" s="471"/>
      <c r="H42" s="471"/>
      <c r="I42" s="471"/>
      <c r="J42" s="471"/>
      <c r="K42" s="471"/>
      <c r="L42" s="471"/>
      <c r="M42" s="471"/>
      <c r="N42" s="381"/>
      <c r="O42" s="382"/>
      <c r="P42" s="382" t="s">
        <v>537</v>
      </c>
      <c r="Q42" s="470">
        <v>19</v>
      </c>
      <c r="R42" s="382"/>
      <c r="S42" s="512" t="s">
        <v>217</v>
      </c>
      <c r="T42" s="469">
        <v>12352</v>
      </c>
      <c r="U42" s="382"/>
      <c r="V42" s="512" t="s">
        <v>217</v>
      </c>
      <c r="W42" s="469">
        <v>12352</v>
      </c>
      <c r="X42" s="382"/>
      <c r="Y42" s="494" t="s">
        <v>64</v>
      </c>
      <c r="Z42" s="515">
        <v>13562</v>
      </c>
      <c r="AA42" s="381"/>
      <c r="AB42" s="381"/>
      <c r="AC42" s="381"/>
      <c r="AD42" s="381"/>
      <c r="AE42" s="381"/>
      <c r="AF42" s="381"/>
      <c r="AG42" s="381"/>
      <c r="AH42" s="381"/>
      <c r="AI42" s="381"/>
      <c r="AJ42" s="381"/>
      <c r="AK42" s="381"/>
    </row>
    <row r="43" spans="2:37">
      <c r="B43" s="471"/>
      <c r="C43" s="471"/>
      <c r="D43" s="471"/>
      <c r="E43" s="471"/>
      <c r="F43" s="471"/>
      <c r="G43" s="471"/>
      <c r="H43" s="471"/>
      <c r="I43" s="471"/>
      <c r="J43" s="471"/>
      <c r="K43" s="471"/>
      <c r="L43" s="471"/>
      <c r="M43" s="471"/>
      <c r="N43" s="381"/>
      <c r="O43" s="382"/>
      <c r="P43" s="382" t="s">
        <v>60</v>
      </c>
      <c r="Q43" s="470">
        <v>7824</v>
      </c>
      <c r="R43" s="382"/>
      <c r="S43" s="512" t="s">
        <v>57</v>
      </c>
      <c r="T43" s="469">
        <v>11180</v>
      </c>
      <c r="U43" s="382"/>
      <c r="V43" s="512" t="s">
        <v>57</v>
      </c>
      <c r="W43" s="469">
        <v>11180</v>
      </c>
      <c r="X43" s="382"/>
      <c r="Y43" s="494" t="s">
        <v>217</v>
      </c>
      <c r="Z43" s="515">
        <v>12352</v>
      </c>
      <c r="AA43" s="381"/>
      <c r="AB43" s="381"/>
      <c r="AC43" s="381"/>
      <c r="AD43" s="381"/>
      <c r="AE43" s="381"/>
      <c r="AF43" s="381"/>
      <c r="AG43" s="381"/>
      <c r="AH43" s="381"/>
      <c r="AI43" s="381"/>
      <c r="AJ43" s="381"/>
      <c r="AK43" s="381"/>
    </row>
    <row r="44" spans="2:37">
      <c r="B44" s="471"/>
      <c r="C44" s="471"/>
      <c r="D44" s="471"/>
      <c r="E44" s="471"/>
      <c r="F44" s="471"/>
      <c r="G44" s="471"/>
      <c r="H44" s="471"/>
      <c r="I44" s="471"/>
      <c r="J44" s="471"/>
      <c r="K44" s="471"/>
      <c r="L44" s="471"/>
      <c r="M44" s="471"/>
      <c r="N44" s="381"/>
      <c r="O44" s="382"/>
      <c r="P44" s="382" t="s">
        <v>67</v>
      </c>
      <c r="Q44" s="470">
        <v>3783</v>
      </c>
      <c r="R44" s="382"/>
      <c r="S44" s="512" t="s">
        <v>61</v>
      </c>
      <c r="T44" s="469">
        <v>7874</v>
      </c>
      <c r="U44" s="382"/>
      <c r="V44" s="512" t="s">
        <v>61</v>
      </c>
      <c r="W44" s="469">
        <v>7874</v>
      </c>
      <c r="X44" s="382"/>
      <c r="Y44" s="494" t="s">
        <v>57</v>
      </c>
      <c r="Z44" s="515">
        <v>11180</v>
      </c>
      <c r="AA44" s="381"/>
      <c r="AB44" s="381"/>
      <c r="AC44" s="381"/>
      <c r="AD44" s="381"/>
      <c r="AE44" s="381"/>
      <c r="AF44" s="381"/>
      <c r="AG44" s="381"/>
      <c r="AH44" s="381"/>
      <c r="AI44" s="381"/>
      <c r="AJ44" s="381"/>
      <c r="AK44" s="381"/>
    </row>
    <row r="45" spans="2:37">
      <c r="B45" s="471"/>
      <c r="C45" s="471"/>
      <c r="D45" s="471"/>
      <c r="E45" s="471"/>
      <c r="F45" s="471"/>
      <c r="G45" s="471"/>
      <c r="H45" s="471"/>
      <c r="I45" s="471"/>
      <c r="J45" s="471"/>
      <c r="K45" s="471"/>
      <c r="L45" s="471"/>
      <c r="M45" s="471"/>
      <c r="N45" s="381"/>
      <c r="O45" s="382"/>
      <c r="P45" s="382" t="s">
        <v>69</v>
      </c>
      <c r="Q45" s="470">
        <v>2064</v>
      </c>
      <c r="R45" s="382"/>
      <c r="S45" s="512" t="s">
        <v>60</v>
      </c>
      <c r="T45" s="469">
        <v>7824</v>
      </c>
      <c r="U45" s="382"/>
      <c r="V45" s="512" t="s">
        <v>60</v>
      </c>
      <c r="W45" s="469">
        <v>7824</v>
      </c>
      <c r="X45" s="382"/>
      <c r="Y45" s="494" t="s">
        <v>61</v>
      </c>
      <c r="Z45" s="515">
        <v>7874</v>
      </c>
      <c r="AA45" s="381"/>
      <c r="AB45" s="381"/>
      <c r="AC45" s="381"/>
      <c r="AD45" s="381"/>
      <c r="AE45" s="381"/>
      <c r="AF45" s="381"/>
      <c r="AG45" s="381"/>
      <c r="AH45" s="381"/>
      <c r="AI45" s="381"/>
      <c r="AJ45" s="381"/>
      <c r="AK45" s="381"/>
    </row>
    <row r="46" spans="2:37">
      <c r="B46" s="471"/>
      <c r="C46" s="471"/>
      <c r="D46" s="471"/>
      <c r="E46" s="471"/>
      <c r="F46" s="471"/>
      <c r="G46" s="471"/>
      <c r="H46" s="471"/>
      <c r="I46" s="471"/>
      <c r="J46" s="471"/>
      <c r="K46" s="471"/>
      <c r="L46" s="471"/>
      <c r="M46" s="471"/>
      <c r="N46" s="381"/>
      <c r="O46" s="382"/>
      <c r="P46" s="382" t="s">
        <v>63</v>
      </c>
      <c r="Q46" s="470">
        <v>7458</v>
      </c>
      <c r="R46" s="382"/>
      <c r="S46" s="512" t="s">
        <v>59</v>
      </c>
      <c r="T46" s="469">
        <v>7685</v>
      </c>
      <c r="U46" s="382"/>
      <c r="V46" s="512" t="s">
        <v>59</v>
      </c>
      <c r="W46" s="469">
        <v>7685</v>
      </c>
      <c r="X46" s="382"/>
      <c r="Y46" s="494" t="s">
        <v>60</v>
      </c>
      <c r="Z46" s="515">
        <v>7824</v>
      </c>
      <c r="AA46" s="381"/>
      <c r="AB46" s="381"/>
      <c r="AC46" s="381"/>
      <c r="AD46" s="381"/>
      <c r="AE46" s="381"/>
      <c r="AF46" s="381"/>
      <c r="AG46" s="381"/>
      <c r="AH46" s="381"/>
      <c r="AI46" s="381"/>
      <c r="AJ46" s="381"/>
      <c r="AK46" s="381"/>
    </row>
    <row r="47" spans="2:37">
      <c r="B47" s="471"/>
      <c r="C47" s="471"/>
      <c r="D47" s="471"/>
      <c r="E47" s="471"/>
      <c r="F47" s="471"/>
      <c r="G47" s="471"/>
      <c r="H47" s="471"/>
      <c r="I47" s="471"/>
      <c r="J47" s="471"/>
      <c r="K47" s="471"/>
      <c r="L47" s="471"/>
      <c r="M47" s="471"/>
      <c r="N47" s="381"/>
      <c r="O47" s="382"/>
      <c r="P47" s="382" t="s">
        <v>66</v>
      </c>
      <c r="Q47" s="470">
        <v>37206</v>
      </c>
      <c r="R47" s="382"/>
      <c r="S47" s="512" t="s">
        <v>63</v>
      </c>
      <c r="T47" s="469">
        <v>7458</v>
      </c>
      <c r="U47" s="382"/>
      <c r="V47" s="512" t="s">
        <v>63</v>
      </c>
      <c r="W47" s="469">
        <v>7458</v>
      </c>
      <c r="X47" s="382"/>
      <c r="Y47" s="494" t="s">
        <v>59</v>
      </c>
      <c r="Z47" s="515">
        <v>7685</v>
      </c>
      <c r="AA47" s="381"/>
      <c r="AB47" s="381"/>
      <c r="AC47" s="381"/>
      <c r="AD47" s="381"/>
      <c r="AE47" s="381"/>
      <c r="AF47" s="381"/>
      <c r="AG47" s="381"/>
      <c r="AH47" s="381"/>
      <c r="AI47" s="381"/>
      <c r="AJ47" s="381"/>
      <c r="AK47" s="381"/>
    </row>
    <row r="48" spans="2:37">
      <c r="B48" s="471"/>
      <c r="C48" s="471"/>
      <c r="D48" s="471"/>
      <c r="E48" s="471"/>
      <c r="F48" s="471"/>
      <c r="G48" s="471"/>
      <c r="H48" s="471"/>
      <c r="I48" s="471"/>
      <c r="J48" s="471"/>
      <c r="K48" s="471"/>
      <c r="L48" s="471"/>
      <c r="M48" s="471"/>
      <c r="N48" s="381"/>
      <c r="O48" s="382"/>
      <c r="P48" s="382" t="s">
        <v>70</v>
      </c>
      <c r="Q48" s="470">
        <f>R67+17161</f>
        <v>17163</v>
      </c>
      <c r="R48" s="382"/>
      <c r="S48" s="512" t="s">
        <v>71</v>
      </c>
      <c r="T48" s="469">
        <v>6845</v>
      </c>
      <c r="U48" s="382"/>
      <c r="V48" s="512" t="s">
        <v>71</v>
      </c>
      <c r="W48" s="469">
        <v>6845</v>
      </c>
      <c r="X48" s="382"/>
      <c r="Y48" s="494" t="s">
        <v>63</v>
      </c>
      <c r="Z48" s="515">
        <v>7458</v>
      </c>
      <c r="AA48" s="381"/>
      <c r="AB48" s="381"/>
      <c r="AC48" s="381"/>
      <c r="AD48" s="381"/>
      <c r="AE48" s="381"/>
      <c r="AF48" s="381"/>
      <c r="AG48" s="381"/>
      <c r="AH48" s="381"/>
      <c r="AI48" s="381"/>
      <c r="AJ48" s="381"/>
      <c r="AK48" s="381"/>
    </row>
    <row r="49" spans="2:37">
      <c r="B49" s="471"/>
      <c r="C49" s="471"/>
      <c r="D49" s="471"/>
      <c r="E49" s="471"/>
      <c r="F49" s="471"/>
      <c r="G49" s="471"/>
      <c r="H49" s="471"/>
      <c r="I49" s="471"/>
      <c r="J49" s="471"/>
      <c r="K49" s="471"/>
      <c r="L49" s="471"/>
      <c r="M49" s="471"/>
      <c r="N49" s="381"/>
      <c r="O49" s="382"/>
      <c r="P49" s="382" t="s">
        <v>538</v>
      </c>
      <c r="Q49" s="470">
        <v>99</v>
      </c>
      <c r="R49" s="382"/>
      <c r="S49" s="512" t="s">
        <v>68</v>
      </c>
      <c r="T49" s="469">
        <v>4948</v>
      </c>
      <c r="U49" s="382"/>
      <c r="V49" s="512" t="s">
        <v>68</v>
      </c>
      <c r="W49" s="469">
        <v>4948</v>
      </c>
      <c r="X49" s="382"/>
      <c r="Y49" s="494" t="s">
        <v>71</v>
      </c>
      <c r="Z49" s="515">
        <v>6845</v>
      </c>
      <c r="AA49" s="381"/>
      <c r="AB49" s="381"/>
      <c r="AC49" s="381"/>
      <c r="AD49" s="381"/>
      <c r="AE49" s="381"/>
      <c r="AF49" s="381"/>
      <c r="AG49" s="381"/>
      <c r="AH49" s="381"/>
      <c r="AI49" s="381"/>
      <c r="AJ49" s="381"/>
      <c r="AK49" s="381"/>
    </row>
    <row r="50" spans="2:37">
      <c r="B50" s="471"/>
      <c r="C50" s="471"/>
      <c r="D50" s="471"/>
      <c r="E50" s="471"/>
      <c r="F50" s="471"/>
      <c r="G50" s="471"/>
      <c r="H50" s="471"/>
      <c r="I50" s="471"/>
      <c r="J50" s="471"/>
      <c r="K50" s="471"/>
      <c r="L50" s="471"/>
      <c r="M50" s="471"/>
      <c r="N50" s="381"/>
      <c r="O50" s="382"/>
      <c r="P50" s="382" t="s">
        <v>65</v>
      </c>
      <c r="Q50" s="470">
        <f>R68+14640</f>
        <v>14753</v>
      </c>
      <c r="R50" s="382"/>
      <c r="S50" s="512" t="s">
        <v>67</v>
      </c>
      <c r="T50" s="469">
        <v>3783</v>
      </c>
      <c r="U50" s="382"/>
      <c r="V50" s="512" t="s">
        <v>67</v>
      </c>
      <c r="W50" s="469">
        <v>3783</v>
      </c>
      <c r="X50" s="382"/>
      <c r="Y50" s="494" t="s">
        <v>68</v>
      </c>
      <c r="Z50" s="515">
        <v>4948</v>
      </c>
      <c r="AA50" s="381"/>
      <c r="AB50" s="381"/>
      <c r="AC50" s="381"/>
      <c r="AD50" s="381"/>
      <c r="AE50" s="381"/>
      <c r="AF50" s="381"/>
      <c r="AG50" s="381"/>
      <c r="AH50" s="381"/>
      <c r="AI50" s="381"/>
      <c r="AJ50" s="381"/>
      <c r="AK50" s="381"/>
    </row>
    <row r="51" spans="2:37">
      <c r="B51" s="471"/>
      <c r="C51" s="471"/>
      <c r="D51" s="471"/>
      <c r="E51" s="471"/>
      <c r="F51" s="471"/>
      <c r="G51" s="471"/>
      <c r="H51" s="471"/>
      <c r="I51" s="471"/>
      <c r="J51" s="471"/>
      <c r="K51" s="471"/>
      <c r="L51" s="471"/>
      <c r="M51" s="471"/>
      <c r="N51" s="381"/>
      <c r="O51" s="382"/>
      <c r="P51" s="382" t="s">
        <v>539</v>
      </c>
      <c r="Q51" s="470">
        <v>12</v>
      </c>
      <c r="R51" s="382"/>
      <c r="S51" s="512" t="s">
        <v>355</v>
      </c>
      <c r="T51" s="469">
        <v>2406</v>
      </c>
      <c r="U51" s="382"/>
      <c r="V51" s="512" t="s">
        <v>355</v>
      </c>
      <c r="W51" s="469">
        <v>2406</v>
      </c>
      <c r="X51" s="382"/>
      <c r="Y51" s="494" t="s">
        <v>67</v>
      </c>
      <c r="Z51" s="515">
        <v>3783</v>
      </c>
      <c r="AA51" s="381"/>
      <c r="AB51" s="381"/>
      <c r="AC51" s="381"/>
      <c r="AD51" s="381"/>
      <c r="AE51" s="381"/>
      <c r="AF51" s="381"/>
      <c r="AG51" s="381"/>
      <c r="AH51" s="381"/>
      <c r="AI51" s="381"/>
      <c r="AJ51" s="381"/>
      <c r="AK51" s="381"/>
    </row>
    <row r="52" spans="2:37">
      <c r="B52" s="471"/>
      <c r="C52" s="471"/>
      <c r="D52" s="471"/>
      <c r="E52" s="471"/>
      <c r="F52" s="471"/>
      <c r="G52" s="471"/>
      <c r="H52" s="471"/>
      <c r="I52" s="471"/>
      <c r="J52" s="471"/>
      <c r="K52" s="471"/>
      <c r="L52" s="471"/>
      <c r="M52" s="471"/>
      <c r="N52" s="381"/>
      <c r="O52" s="382"/>
      <c r="P52" s="382" t="s">
        <v>46</v>
      </c>
      <c r="Q52" s="470">
        <v>686</v>
      </c>
      <c r="R52" s="382"/>
      <c r="S52" s="512" t="s">
        <v>69</v>
      </c>
      <c r="T52" s="469">
        <v>2064</v>
      </c>
      <c r="U52" s="382"/>
      <c r="V52" s="512" t="s">
        <v>69</v>
      </c>
      <c r="W52" s="469">
        <v>2064</v>
      </c>
      <c r="X52" s="382"/>
      <c r="Y52" s="494" t="s">
        <v>355</v>
      </c>
      <c r="Z52" s="515">
        <v>2406</v>
      </c>
      <c r="AA52" s="381"/>
      <c r="AB52" s="381"/>
      <c r="AC52" s="381"/>
      <c r="AD52" s="381"/>
      <c r="AE52" s="381"/>
      <c r="AF52" s="381"/>
      <c r="AG52" s="381"/>
      <c r="AH52" s="381"/>
      <c r="AI52" s="381"/>
      <c r="AJ52" s="381"/>
      <c r="AK52" s="381"/>
    </row>
    <row r="53" spans="2:37">
      <c r="B53" s="471"/>
      <c r="C53" s="471"/>
      <c r="D53" s="471"/>
      <c r="E53" s="471"/>
      <c r="F53" s="471"/>
      <c r="G53" s="471"/>
      <c r="H53" s="471"/>
      <c r="I53" s="471"/>
      <c r="J53" s="471"/>
      <c r="K53" s="471"/>
      <c r="L53" s="471"/>
      <c r="M53" s="471"/>
      <c r="N53" s="381"/>
      <c r="O53" s="382"/>
      <c r="P53" s="382" t="s">
        <v>59</v>
      </c>
      <c r="Q53" s="470">
        <v>7685</v>
      </c>
      <c r="R53" s="382"/>
      <c r="S53" s="512" t="s">
        <v>46</v>
      </c>
      <c r="T53" s="469">
        <v>686</v>
      </c>
      <c r="U53" s="382"/>
      <c r="V53" s="512" t="s">
        <v>46</v>
      </c>
      <c r="W53" s="469">
        <v>686</v>
      </c>
      <c r="X53" s="382"/>
      <c r="Y53" s="494" t="s">
        <v>69</v>
      </c>
      <c r="Z53" s="515">
        <v>2064</v>
      </c>
      <c r="AA53" s="381"/>
      <c r="AB53" s="381"/>
      <c r="AC53" s="381"/>
      <c r="AD53" s="381"/>
      <c r="AE53" s="381"/>
      <c r="AF53" s="381"/>
      <c r="AG53" s="381"/>
      <c r="AH53" s="381"/>
      <c r="AI53" s="381"/>
      <c r="AJ53" s="381"/>
      <c r="AK53" s="381"/>
    </row>
    <row r="54" spans="2:37">
      <c r="B54" s="471"/>
      <c r="C54" s="471"/>
      <c r="D54" s="471"/>
      <c r="E54" s="471"/>
      <c r="F54" s="471"/>
      <c r="G54" s="471"/>
      <c r="H54" s="471"/>
      <c r="I54" s="471"/>
      <c r="J54" s="471"/>
      <c r="K54" s="471"/>
      <c r="L54" s="471"/>
      <c r="M54" s="471"/>
      <c r="N54" s="381"/>
      <c r="O54" s="382"/>
      <c r="P54" s="382" t="s">
        <v>62</v>
      </c>
      <c r="Q54" s="470">
        <v>14151</v>
      </c>
      <c r="R54" s="382"/>
      <c r="S54" s="512" t="s">
        <v>538</v>
      </c>
      <c r="T54" s="469">
        <v>99</v>
      </c>
      <c r="U54" s="382"/>
      <c r="V54" s="512" t="s">
        <v>538</v>
      </c>
      <c r="W54" s="469">
        <v>99</v>
      </c>
      <c r="X54" s="382"/>
      <c r="Y54" s="494" t="s">
        <v>46</v>
      </c>
      <c r="Z54" s="515">
        <v>686</v>
      </c>
      <c r="AA54" s="381"/>
      <c r="AB54" s="381"/>
      <c r="AC54" s="381"/>
      <c r="AD54" s="381"/>
      <c r="AE54" s="381"/>
      <c r="AF54" s="381"/>
      <c r="AG54" s="381"/>
      <c r="AH54" s="381"/>
      <c r="AI54" s="381"/>
      <c r="AJ54" s="381"/>
      <c r="AK54" s="381"/>
    </row>
    <row r="55" spans="2:37">
      <c r="B55" s="471"/>
      <c r="C55" s="471"/>
      <c r="D55" s="471"/>
      <c r="E55" s="471"/>
      <c r="F55" s="471"/>
      <c r="G55" s="471"/>
      <c r="H55" s="471"/>
      <c r="I55" s="471"/>
      <c r="J55" s="471"/>
      <c r="K55" s="471"/>
      <c r="L55" s="471"/>
      <c r="M55" s="471"/>
      <c r="N55" s="381"/>
      <c r="O55" s="382"/>
      <c r="P55" s="382" t="s">
        <v>355</v>
      </c>
      <c r="Q55" s="470">
        <v>2406</v>
      </c>
      <c r="R55" s="382"/>
      <c r="S55" s="512" t="s">
        <v>540</v>
      </c>
      <c r="T55" s="469">
        <v>56</v>
      </c>
      <c r="U55" s="382"/>
      <c r="V55" s="512" t="s">
        <v>540</v>
      </c>
      <c r="W55" s="469">
        <v>56</v>
      </c>
      <c r="X55" s="382"/>
      <c r="Y55" s="494" t="s">
        <v>538</v>
      </c>
      <c r="Z55" s="515">
        <v>99</v>
      </c>
      <c r="AA55" s="381"/>
      <c r="AB55" s="381"/>
      <c r="AC55" s="381"/>
      <c r="AD55" s="381"/>
      <c r="AE55" s="381"/>
      <c r="AF55" s="381"/>
      <c r="AG55" s="381"/>
      <c r="AH55" s="381"/>
      <c r="AI55" s="381"/>
      <c r="AJ55" s="381"/>
      <c r="AK55" s="381"/>
    </row>
    <row r="56" spans="2:37">
      <c r="B56" s="471"/>
      <c r="C56" s="471"/>
      <c r="D56" s="471"/>
      <c r="E56" s="471"/>
      <c r="F56" s="471"/>
      <c r="G56" s="471"/>
      <c r="H56" s="471"/>
      <c r="I56" s="471"/>
      <c r="J56" s="471"/>
      <c r="K56" s="471"/>
      <c r="L56" s="471"/>
      <c r="M56" s="471"/>
      <c r="N56" s="381"/>
      <c r="O56" s="382"/>
      <c r="P56" s="382" t="s">
        <v>68</v>
      </c>
      <c r="Q56" s="470">
        <v>4948</v>
      </c>
      <c r="R56" s="382"/>
      <c r="S56" s="512" t="s">
        <v>537</v>
      </c>
      <c r="T56" s="469">
        <v>19</v>
      </c>
      <c r="U56" s="382"/>
      <c r="V56" s="512" t="s">
        <v>537</v>
      </c>
      <c r="W56" s="469">
        <v>19</v>
      </c>
      <c r="X56" s="382"/>
      <c r="Y56" s="494" t="s">
        <v>540</v>
      </c>
      <c r="Z56" s="515">
        <v>56</v>
      </c>
      <c r="AA56" s="381"/>
      <c r="AB56" s="381"/>
      <c r="AC56" s="381"/>
      <c r="AD56" s="381"/>
      <c r="AE56" s="381"/>
      <c r="AF56" s="381"/>
      <c r="AG56" s="381"/>
      <c r="AH56" s="381"/>
      <c r="AI56" s="381"/>
      <c r="AJ56" s="381"/>
      <c r="AK56" s="381"/>
    </row>
    <row r="57" spans="2:37">
      <c r="B57" s="471"/>
      <c r="C57" s="471"/>
      <c r="D57" s="471"/>
      <c r="E57" s="471"/>
      <c r="F57" s="471"/>
      <c r="G57" s="471"/>
      <c r="H57" s="471"/>
      <c r="I57" s="471"/>
      <c r="J57" s="471"/>
      <c r="K57" s="471"/>
      <c r="L57" s="471"/>
      <c r="M57" s="471"/>
      <c r="N57" s="381"/>
      <c r="O57" s="382"/>
      <c r="P57" s="382" t="s">
        <v>540</v>
      </c>
      <c r="Q57" s="470">
        <v>56</v>
      </c>
      <c r="R57" s="382"/>
      <c r="S57" s="512" t="s">
        <v>534</v>
      </c>
      <c r="T57" s="469">
        <v>14</v>
      </c>
      <c r="U57" s="382"/>
      <c r="V57" s="512" t="s">
        <v>534</v>
      </c>
      <c r="W57" s="469">
        <v>14</v>
      </c>
      <c r="X57" s="382"/>
      <c r="Y57" s="494" t="s">
        <v>537</v>
      </c>
      <c r="Z57" s="515">
        <v>19</v>
      </c>
      <c r="AA57" s="381"/>
      <c r="AB57" s="381"/>
      <c r="AC57" s="381"/>
      <c r="AD57" s="381"/>
      <c r="AE57" s="381"/>
      <c r="AF57" s="381"/>
      <c r="AG57" s="381"/>
      <c r="AH57" s="381"/>
      <c r="AI57" s="381"/>
      <c r="AJ57" s="381"/>
      <c r="AK57" s="381"/>
    </row>
    <row r="58" spans="2:37">
      <c r="B58" s="471"/>
      <c r="C58" s="471"/>
      <c r="D58" s="471"/>
      <c r="E58" s="471"/>
      <c r="F58" s="471"/>
      <c r="G58" s="471"/>
      <c r="H58" s="471"/>
      <c r="I58" s="471"/>
      <c r="J58" s="471"/>
      <c r="K58" s="471"/>
      <c r="L58" s="471"/>
      <c r="M58" s="471"/>
      <c r="N58" s="381"/>
      <c r="O58" s="382"/>
      <c r="P58" s="382" t="s">
        <v>61</v>
      </c>
      <c r="Q58" s="470">
        <f>R66+7862</f>
        <v>7874</v>
      </c>
      <c r="R58" s="382"/>
      <c r="S58" s="512" t="s">
        <v>539</v>
      </c>
      <c r="T58" s="469">
        <v>12</v>
      </c>
      <c r="U58" s="382"/>
      <c r="V58" s="512" t="s">
        <v>539</v>
      </c>
      <c r="W58" s="469">
        <v>12</v>
      </c>
      <c r="X58" s="382"/>
      <c r="Y58" s="494" t="s">
        <v>534</v>
      </c>
      <c r="Z58" s="515">
        <v>14</v>
      </c>
      <c r="AA58" s="381"/>
      <c r="AB58" s="381"/>
      <c r="AC58" s="381"/>
      <c r="AD58" s="381"/>
      <c r="AE58" s="381"/>
      <c r="AF58" s="381"/>
      <c r="AG58" s="381"/>
      <c r="AH58" s="381"/>
      <c r="AI58" s="381"/>
      <c r="AJ58" s="381"/>
      <c r="AK58" s="381"/>
    </row>
    <row r="59" spans="2:37">
      <c r="B59" s="471"/>
      <c r="C59" s="471"/>
      <c r="D59" s="471"/>
      <c r="E59" s="471"/>
      <c r="F59" s="471"/>
      <c r="G59" s="471"/>
      <c r="H59" s="471"/>
      <c r="I59" s="471"/>
      <c r="J59" s="471"/>
      <c r="K59" s="471"/>
      <c r="L59" s="471"/>
      <c r="M59" s="471"/>
      <c r="N59" s="381"/>
      <c r="O59" s="382"/>
      <c r="P59" s="382" t="s">
        <v>407</v>
      </c>
      <c r="Q59" s="470">
        <f>SUM(Q36:Q58)</f>
        <v>200822</v>
      </c>
      <c r="R59" s="382"/>
      <c r="S59" s="512" t="s">
        <v>407</v>
      </c>
      <c r="T59" s="469">
        <v>200822</v>
      </c>
      <c r="U59" s="382"/>
      <c r="V59" s="382"/>
      <c r="W59" s="382"/>
      <c r="X59" s="382"/>
      <c r="Y59" s="494" t="s">
        <v>539</v>
      </c>
      <c r="Z59" s="515">
        <v>12</v>
      </c>
      <c r="AA59" s="381"/>
      <c r="AB59" s="381"/>
      <c r="AC59" s="381"/>
      <c r="AD59" s="381"/>
      <c r="AE59" s="381"/>
      <c r="AF59" s="381"/>
      <c r="AG59" s="381"/>
      <c r="AH59" s="381"/>
      <c r="AI59" s="381"/>
      <c r="AJ59" s="381"/>
      <c r="AK59" s="381"/>
    </row>
    <row r="60" spans="2:37">
      <c r="B60" s="471"/>
      <c r="C60" s="471"/>
      <c r="D60" s="471"/>
      <c r="E60" s="471"/>
      <c r="F60" s="471"/>
      <c r="G60" s="471"/>
      <c r="H60" s="471"/>
      <c r="I60" s="471"/>
      <c r="J60" s="471"/>
      <c r="K60" s="471"/>
      <c r="L60" s="471"/>
      <c r="M60" s="471"/>
      <c r="N60" s="381"/>
      <c r="O60" s="382"/>
      <c r="P60" s="382"/>
      <c r="Q60" s="382"/>
      <c r="R60" s="382"/>
      <c r="S60" s="382"/>
      <c r="T60" s="469"/>
      <c r="U60" s="382"/>
      <c r="V60" s="382"/>
      <c r="W60" s="382"/>
      <c r="X60" s="382"/>
      <c r="Y60" s="501" t="s">
        <v>407</v>
      </c>
      <c r="Z60" s="520">
        <v>179755</v>
      </c>
      <c r="AA60" s="381"/>
      <c r="AB60" s="381"/>
      <c r="AC60" s="381"/>
      <c r="AD60" s="381"/>
      <c r="AE60" s="381"/>
      <c r="AF60" s="381"/>
      <c r="AG60" s="381"/>
      <c r="AH60" s="381"/>
      <c r="AI60" s="381"/>
      <c r="AJ60" s="381"/>
      <c r="AK60" s="381"/>
    </row>
    <row r="61" spans="2:37">
      <c r="B61" s="471"/>
      <c r="C61" s="471"/>
      <c r="D61" s="471"/>
      <c r="E61" s="471"/>
      <c r="F61" s="471"/>
      <c r="G61" s="471"/>
      <c r="H61" s="471"/>
      <c r="I61" s="471"/>
      <c r="J61" s="471"/>
      <c r="K61" s="471"/>
      <c r="L61" s="471"/>
      <c r="M61" s="471"/>
      <c r="N61" s="381"/>
      <c r="O61" s="382"/>
      <c r="P61" s="382"/>
      <c r="Q61" s="521" t="s">
        <v>723</v>
      </c>
      <c r="R61" s="522">
        <v>2006</v>
      </c>
      <c r="S61" s="522">
        <v>2007</v>
      </c>
      <c r="T61" s="522">
        <v>2008</v>
      </c>
      <c r="U61" s="522">
        <v>2009</v>
      </c>
      <c r="V61" s="522">
        <v>2010</v>
      </c>
      <c r="W61" s="522">
        <v>2011</v>
      </c>
      <c r="X61" s="522">
        <v>2012</v>
      </c>
      <c r="Y61" s="522">
        <v>2013</v>
      </c>
      <c r="Z61" s="523">
        <v>2014</v>
      </c>
      <c r="AA61" s="522" t="s">
        <v>689</v>
      </c>
      <c r="AB61" s="522" t="s">
        <v>690</v>
      </c>
      <c r="AC61" s="522" t="s">
        <v>691</v>
      </c>
      <c r="AD61" s="382"/>
      <c r="AE61" s="381"/>
      <c r="AF61" s="381"/>
      <c r="AG61" s="381"/>
      <c r="AH61" s="381"/>
      <c r="AI61" s="381"/>
      <c r="AJ61" s="381"/>
      <c r="AK61" s="381"/>
    </row>
    <row r="62" spans="2:37">
      <c r="B62" s="471"/>
      <c r="C62" s="471"/>
      <c r="D62" s="471"/>
      <c r="E62" s="471"/>
      <c r="F62" s="471"/>
      <c r="G62" s="471"/>
      <c r="H62" s="471"/>
      <c r="I62" s="471"/>
      <c r="J62" s="471"/>
      <c r="K62" s="471"/>
      <c r="L62" s="471"/>
      <c r="M62" s="471"/>
      <c r="N62" s="381"/>
      <c r="O62" s="382"/>
      <c r="P62" s="382"/>
      <c r="Q62" s="524" t="s">
        <v>724</v>
      </c>
      <c r="R62" s="525">
        <f t="shared" ref="R62:AB62" si="1">Q82</f>
        <v>108303</v>
      </c>
      <c r="S62" s="525">
        <f t="shared" si="1"/>
        <v>120332</v>
      </c>
      <c r="T62" s="525">
        <f t="shared" si="1"/>
        <v>139403</v>
      </c>
      <c r="U62" s="525">
        <f t="shared" si="1"/>
        <v>121040</v>
      </c>
      <c r="V62" s="525">
        <f t="shared" si="1"/>
        <v>139096</v>
      </c>
      <c r="W62" s="525">
        <f t="shared" si="1"/>
        <v>160449</v>
      </c>
      <c r="X62" s="525">
        <f t="shared" si="1"/>
        <v>201631</v>
      </c>
      <c r="Y62" s="525">
        <f t="shared" si="1"/>
        <v>216036</v>
      </c>
      <c r="Z62" s="526">
        <f t="shared" si="1"/>
        <v>189363</v>
      </c>
      <c r="AA62" s="525">
        <f t="shared" si="1"/>
        <v>197887</v>
      </c>
      <c r="AB62" s="525">
        <f t="shared" si="1"/>
        <v>165566</v>
      </c>
      <c r="AC62" s="527">
        <v>179755</v>
      </c>
      <c r="AD62" s="382"/>
      <c r="AE62" s="381"/>
      <c r="AF62" s="381"/>
      <c r="AG62" s="381"/>
      <c r="AH62" s="381"/>
      <c r="AI62" s="381"/>
      <c r="AJ62" s="381"/>
      <c r="AK62" s="381"/>
    </row>
    <row r="63" spans="2:37">
      <c r="B63" s="471"/>
      <c r="C63" s="471"/>
      <c r="D63" s="471"/>
      <c r="E63" s="471"/>
      <c r="F63" s="471"/>
      <c r="G63" s="471"/>
      <c r="H63" s="471"/>
      <c r="I63" s="471"/>
      <c r="J63" s="471"/>
      <c r="K63" s="471"/>
      <c r="L63" s="471"/>
      <c r="M63" s="471"/>
      <c r="N63" s="381"/>
      <c r="O63" s="382"/>
      <c r="P63" s="382" t="s">
        <v>702</v>
      </c>
      <c r="Q63" s="382"/>
      <c r="R63" s="382" t="s">
        <v>703</v>
      </c>
      <c r="S63" s="382"/>
      <c r="T63" s="469"/>
      <c r="U63" s="382"/>
      <c r="V63" s="382"/>
      <c r="W63" s="382"/>
      <c r="X63" s="382"/>
      <c r="Y63" s="382"/>
      <c r="Z63" s="469"/>
      <c r="AA63" s="382"/>
      <c r="AB63" s="382"/>
      <c r="AC63" s="382"/>
      <c r="AD63" s="382"/>
      <c r="AE63" s="381"/>
      <c r="AF63" s="381"/>
      <c r="AG63" s="381"/>
      <c r="AH63" s="381"/>
      <c r="AI63" s="381"/>
      <c r="AJ63" s="381"/>
      <c r="AK63" s="381"/>
    </row>
    <row r="64" spans="2:37">
      <c r="B64" s="471"/>
      <c r="C64" s="471"/>
      <c r="D64" s="471"/>
      <c r="E64" s="471"/>
      <c r="F64" s="471"/>
      <c r="G64" s="471"/>
      <c r="H64" s="471"/>
      <c r="I64" s="471"/>
      <c r="J64" s="471"/>
      <c r="K64" s="471"/>
      <c r="L64" s="471"/>
      <c r="M64" s="471"/>
      <c r="N64" s="381"/>
      <c r="O64" s="382"/>
      <c r="P64" s="382" t="s">
        <v>530</v>
      </c>
      <c r="Q64" s="382" t="s">
        <v>515</v>
      </c>
      <c r="R64" s="382" t="s">
        <v>705</v>
      </c>
      <c r="S64" s="382" t="s">
        <v>407</v>
      </c>
      <c r="T64" s="469"/>
      <c r="U64" s="382"/>
      <c r="V64" s="382"/>
      <c r="W64" s="382"/>
      <c r="X64" s="382"/>
      <c r="Y64" s="382"/>
      <c r="Z64" s="469"/>
      <c r="AA64" s="382"/>
      <c r="AB64" s="382"/>
      <c r="AC64" s="382"/>
      <c r="AD64" s="382"/>
      <c r="AE64" s="381"/>
      <c r="AF64" s="381"/>
      <c r="AG64" s="381"/>
      <c r="AH64" s="381"/>
      <c r="AI64" s="381"/>
      <c r="AJ64" s="381"/>
      <c r="AK64" s="381"/>
    </row>
    <row r="65" spans="2:37">
      <c r="B65" s="471"/>
      <c r="C65" s="471"/>
      <c r="D65" s="471"/>
      <c r="E65" s="471"/>
      <c r="F65" s="471"/>
      <c r="G65" s="471"/>
      <c r="H65" s="471"/>
      <c r="I65" s="471"/>
      <c r="J65" s="471"/>
      <c r="K65" s="471"/>
      <c r="L65" s="471"/>
      <c r="M65" s="471"/>
      <c r="N65" s="381"/>
      <c r="O65" s="382"/>
      <c r="P65" s="382" t="s">
        <v>725</v>
      </c>
      <c r="Q65" s="382" t="s">
        <v>546</v>
      </c>
      <c r="R65" s="470">
        <v>13</v>
      </c>
      <c r="S65" s="470">
        <v>13</v>
      </c>
      <c r="T65" s="469" t="s">
        <v>57</v>
      </c>
      <c r="U65" s="382"/>
      <c r="V65" s="382"/>
      <c r="W65" s="382"/>
      <c r="X65" s="382"/>
      <c r="Y65" s="382"/>
      <c r="Z65" s="469"/>
      <c r="AA65" s="382"/>
      <c r="AB65" s="382"/>
      <c r="AC65" s="382"/>
      <c r="AD65" s="382"/>
      <c r="AE65" s="381"/>
      <c r="AF65" s="381"/>
      <c r="AG65" s="381"/>
      <c r="AH65" s="381"/>
      <c r="AI65" s="381"/>
      <c r="AJ65" s="381"/>
      <c r="AK65" s="381"/>
    </row>
    <row r="66" spans="2:37">
      <c r="B66" s="471"/>
      <c r="C66" s="471"/>
      <c r="D66" s="471"/>
      <c r="E66" s="471"/>
      <c r="F66" s="471"/>
      <c r="G66" s="471"/>
      <c r="H66" s="471"/>
      <c r="I66" s="471"/>
      <c r="J66" s="471"/>
      <c r="K66" s="471"/>
      <c r="L66" s="471"/>
      <c r="M66" s="471"/>
      <c r="N66" s="381"/>
      <c r="O66" s="382"/>
      <c r="P66" s="382"/>
      <c r="Q66" s="382" t="s">
        <v>726</v>
      </c>
      <c r="R66" s="470">
        <v>12</v>
      </c>
      <c r="S66" s="470">
        <v>12</v>
      </c>
      <c r="T66" s="469" t="s">
        <v>61</v>
      </c>
      <c r="U66" s="382"/>
      <c r="V66" s="382"/>
      <c r="W66" s="382"/>
      <c r="X66" s="382"/>
      <c r="Y66" s="382"/>
      <c r="Z66" s="469"/>
      <c r="AA66" s="382"/>
      <c r="AB66" s="382"/>
      <c r="AC66" s="382"/>
      <c r="AD66" s="382"/>
      <c r="AE66" s="381"/>
      <c r="AF66" s="381"/>
      <c r="AG66" s="381"/>
      <c r="AH66" s="381"/>
      <c r="AI66" s="381"/>
      <c r="AJ66" s="381"/>
      <c r="AK66" s="381"/>
    </row>
    <row r="67" spans="2:37">
      <c r="B67" s="471"/>
      <c r="C67" s="471"/>
      <c r="D67" s="471"/>
      <c r="E67" s="471"/>
      <c r="F67" s="471"/>
      <c r="G67" s="471"/>
      <c r="H67" s="471"/>
      <c r="I67" s="471"/>
      <c r="J67" s="471"/>
      <c r="K67" s="471"/>
      <c r="L67" s="471"/>
      <c r="M67" s="471"/>
      <c r="N67" s="381"/>
      <c r="O67" s="382"/>
      <c r="P67" s="382"/>
      <c r="Q67" s="382" t="s">
        <v>549</v>
      </c>
      <c r="R67" s="470">
        <v>2</v>
      </c>
      <c r="S67" s="470">
        <v>2</v>
      </c>
      <c r="T67" s="469" t="s">
        <v>70</v>
      </c>
      <c r="U67" s="382"/>
      <c r="V67" s="382"/>
      <c r="W67" s="382"/>
      <c r="X67" s="382"/>
      <c r="Y67" s="382"/>
      <c r="Z67" s="469"/>
      <c r="AA67" s="382"/>
      <c r="AB67" s="382"/>
      <c r="AC67" s="382"/>
      <c r="AD67" s="382"/>
      <c r="AE67" s="381"/>
      <c r="AF67" s="381"/>
      <c r="AG67" s="381"/>
      <c r="AH67" s="381"/>
      <c r="AI67" s="381"/>
      <c r="AJ67" s="381"/>
      <c r="AK67" s="381"/>
    </row>
    <row r="68" spans="2:37">
      <c r="B68" s="471"/>
      <c r="C68" s="471"/>
      <c r="D68" s="471"/>
      <c r="E68" s="471"/>
      <c r="F68" s="471"/>
      <c r="G68" s="471"/>
      <c r="H68" s="471"/>
      <c r="I68" s="471"/>
      <c r="J68" s="471"/>
      <c r="K68" s="471"/>
      <c r="L68" s="471"/>
      <c r="M68" s="471"/>
      <c r="N68" s="381"/>
      <c r="O68" s="382"/>
      <c r="P68" s="382"/>
      <c r="Q68" s="382" t="s">
        <v>727</v>
      </c>
      <c r="R68" s="470">
        <v>113</v>
      </c>
      <c r="S68" s="470">
        <v>113</v>
      </c>
      <c r="T68" s="469" t="s">
        <v>65</v>
      </c>
      <c r="U68" s="382"/>
      <c r="V68" s="382"/>
      <c r="W68" s="382"/>
      <c r="X68" s="382"/>
      <c r="Y68" s="382"/>
      <c r="Z68" s="469"/>
      <c r="AA68" s="382"/>
      <c r="AB68" s="382"/>
      <c r="AC68" s="382"/>
      <c r="AD68" s="382"/>
      <c r="AE68" s="381"/>
      <c r="AF68" s="381"/>
      <c r="AG68" s="381"/>
      <c r="AH68" s="381"/>
      <c r="AI68" s="381"/>
      <c r="AJ68" s="381"/>
      <c r="AK68" s="381"/>
    </row>
    <row r="69" spans="2:37">
      <c r="B69" s="471"/>
      <c r="C69" s="471"/>
      <c r="D69" s="471"/>
      <c r="E69" s="471"/>
      <c r="F69" s="471"/>
      <c r="G69" s="471"/>
      <c r="H69" s="471"/>
      <c r="I69" s="471"/>
      <c r="J69" s="471"/>
      <c r="K69" s="471"/>
      <c r="L69" s="471"/>
      <c r="M69" s="471"/>
      <c r="N69" s="381"/>
      <c r="O69" s="382"/>
      <c r="P69" s="382"/>
      <c r="Q69" s="382" t="s">
        <v>553</v>
      </c>
      <c r="R69" s="470">
        <v>41</v>
      </c>
      <c r="S69" s="470">
        <v>41</v>
      </c>
      <c r="T69" s="469" t="s">
        <v>217</v>
      </c>
      <c r="U69" s="382"/>
      <c r="V69" s="382"/>
      <c r="W69" s="382"/>
      <c r="X69" s="382"/>
      <c r="Y69" s="382"/>
      <c r="Z69" s="469"/>
      <c r="AA69" s="382"/>
      <c r="AB69" s="382"/>
      <c r="AC69" s="382"/>
      <c r="AD69" s="382"/>
      <c r="AE69" s="381"/>
      <c r="AF69" s="381"/>
      <c r="AG69" s="381"/>
      <c r="AH69" s="381"/>
      <c r="AI69" s="381"/>
      <c r="AJ69" s="381"/>
      <c r="AK69" s="381"/>
    </row>
    <row r="70" spans="2:37" ht="83.25" customHeight="1">
      <c r="B70" s="605" t="s">
        <v>728</v>
      </c>
      <c r="C70" s="605"/>
      <c r="D70" s="605"/>
      <c r="E70" s="605"/>
      <c r="F70" s="605"/>
      <c r="G70" s="605"/>
      <c r="H70" s="605"/>
      <c r="I70" s="605"/>
      <c r="J70" s="605"/>
      <c r="K70" s="605"/>
      <c r="L70" s="605"/>
      <c r="M70" s="471"/>
      <c r="N70" s="381"/>
      <c r="O70" s="382"/>
      <c r="P70" s="382" t="s">
        <v>729</v>
      </c>
      <c r="Q70" s="382"/>
      <c r="R70" s="470">
        <v>181</v>
      </c>
      <c r="S70" s="470">
        <v>181</v>
      </c>
      <c r="T70" s="469"/>
      <c r="U70" s="382"/>
      <c r="V70" s="382"/>
      <c r="W70" s="382"/>
      <c r="X70" s="382"/>
      <c r="Y70" s="382"/>
      <c r="Z70" s="469"/>
      <c r="AA70" s="382"/>
      <c r="AB70" s="382"/>
      <c r="AC70" s="382"/>
      <c r="AD70" s="382"/>
      <c r="AE70" s="381"/>
      <c r="AF70" s="381"/>
      <c r="AG70" s="381"/>
      <c r="AH70" s="381"/>
      <c r="AI70" s="381"/>
      <c r="AJ70" s="381"/>
      <c r="AK70" s="381"/>
    </row>
    <row r="71" spans="2:37">
      <c r="B71" s="471"/>
      <c r="C71" s="471"/>
      <c r="D71" s="471"/>
      <c r="E71" s="471"/>
      <c r="F71" s="471"/>
      <c r="G71" s="471"/>
      <c r="H71" s="471"/>
      <c r="I71" s="471"/>
      <c r="J71" s="471"/>
      <c r="K71" s="471"/>
      <c r="L71" s="471"/>
      <c r="M71" s="471"/>
      <c r="N71" s="381"/>
      <c r="O71" s="382"/>
      <c r="P71" s="382" t="s">
        <v>730</v>
      </c>
      <c r="Q71" s="382" t="s">
        <v>731</v>
      </c>
      <c r="R71" s="470">
        <v>16</v>
      </c>
      <c r="S71" s="470">
        <v>16</v>
      </c>
      <c r="T71" s="469" t="s">
        <v>58</v>
      </c>
      <c r="U71" s="382"/>
      <c r="V71" s="382"/>
      <c r="W71" s="382"/>
      <c r="X71" s="382"/>
      <c r="Y71" s="382"/>
      <c r="Z71" s="469"/>
      <c r="AA71" s="382"/>
      <c r="AB71" s="382"/>
      <c r="AC71" s="382"/>
      <c r="AD71" s="382"/>
      <c r="AE71" s="381"/>
      <c r="AF71" s="381"/>
      <c r="AG71" s="381"/>
      <c r="AH71" s="381"/>
      <c r="AI71" s="381"/>
      <c r="AJ71" s="381"/>
      <c r="AK71" s="381"/>
    </row>
    <row r="72" spans="2:37">
      <c r="B72" s="471"/>
      <c r="C72" s="471"/>
      <c r="D72" s="471"/>
      <c r="E72" s="471"/>
      <c r="F72" s="471"/>
      <c r="G72" s="471"/>
      <c r="H72" s="471"/>
      <c r="I72" s="471"/>
      <c r="J72" s="471"/>
      <c r="K72" s="471"/>
      <c r="L72" s="471"/>
      <c r="M72" s="471"/>
      <c r="N72" s="381"/>
      <c r="O72" s="382"/>
      <c r="P72" s="382" t="s">
        <v>732</v>
      </c>
      <c r="Q72" s="382"/>
      <c r="R72" s="470">
        <v>16</v>
      </c>
      <c r="S72" s="470">
        <v>16</v>
      </c>
      <c r="T72" s="469"/>
      <c r="U72" s="382"/>
      <c r="V72" s="382"/>
      <c r="W72" s="382"/>
      <c r="X72" s="382"/>
      <c r="Y72" s="382"/>
      <c r="Z72" s="469"/>
      <c r="AA72" s="382"/>
      <c r="AB72" s="382"/>
      <c r="AC72" s="382"/>
      <c r="AD72" s="382"/>
      <c r="AE72" s="381"/>
      <c r="AF72" s="381"/>
      <c r="AG72" s="381"/>
      <c r="AH72" s="381"/>
      <c r="AI72" s="381"/>
      <c r="AJ72" s="381"/>
      <c r="AK72" s="381"/>
    </row>
    <row r="73" spans="2:37">
      <c r="B73" s="471"/>
      <c r="C73" s="471"/>
      <c r="D73" s="471"/>
      <c r="E73" s="471"/>
      <c r="F73" s="471"/>
      <c r="G73" s="471"/>
      <c r="H73" s="471"/>
      <c r="I73" s="471"/>
      <c r="J73" s="471"/>
      <c r="K73" s="471"/>
      <c r="L73" s="471"/>
      <c r="M73" s="471"/>
      <c r="N73" s="381"/>
      <c r="O73" s="382"/>
      <c r="P73" s="382" t="s">
        <v>407</v>
      </c>
      <c r="Q73" s="382"/>
      <c r="R73" s="470">
        <v>197</v>
      </c>
      <c r="S73" s="470">
        <v>197</v>
      </c>
      <c r="T73" s="469"/>
      <c r="U73" s="382"/>
      <c r="V73" s="382"/>
      <c r="W73" s="382"/>
      <c r="X73" s="382"/>
      <c r="Y73" s="382"/>
      <c r="Z73" s="469"/>
      <c r="AA73" s="382"/>
      <c r="AB73" s="382"/>
      <c r="AC73" s="382"/>
      <c r="AD73" s="382"/>
      <c r="AE73" s="381"/>
      <c r="AF73" s="381"/>
      <c r="AG73" s="381"/>
      <c r="AH73" s="381"/>
      <c r="AI73" s="381"/>
      <c r="AJ73" s="381"/>
      <c r="AK73" s="381"/>
    </row>
    <row r="74" spans="2:37">
      <c r="B74" s="471"/>
      <c r="C74" s="471"/>
      <c r="D74" s="471"/>
      <c r="E74" s="471"/>
      <c r="F74" s="471"/>
      <c r="G74" s="471"/>
      <c r="H74" s="471"/>
      <c r="I74" s="471"/>
      <c r="J74" s="471"/>
      <c r="K74" s="471"/>
      <c r="L74" s="471"/>
      <c r="M74" s="471"/>
      <c r="N74" s="381"/>
      <c r="O74" s="382"/>
      <c r="P74" s="382"/>
      <c r="Q74" s="382"/>
      <c r="R74" s="382"/>
      <c r="S74" s="382"/>
      <c r="T74" s="469"/>
      <c r="U74" s="382"/>
      <c r="V74" s="382"/>
      <c r="W74" s="382"/>
      <c r="X74" s="382"/>
      <c r="Y74" s="382"/>
      <c r="Z74" s="469"/>
      <c r="AA74" s="382"/>
      <c r="AB74" s="382"/>
      <c r="AC74" s="382"/>
      <c r="AD74" s="382"/>
      <c r="AE74" s="381"/>
      <c r="AF74" s="381"/>
      <c r="AG74" s="381"/>
      <c r="AH74" s="381"/>
      <c r="AI74" s="381"/>
      <c r="AJ74" s="381"/>
      <c r="AK74" s="381"/>
    </row>
    <row r="75" spans="2:37">
      <c r="B75" s="471"/>
      <c r="C75" s="471"/>
      <c r="D75" s="471"/>
      <c r="E75" s="471"/>
      <c r="F75" s="471"/>
      <c r="G75" s="471"/>
      <c r="H75" s="471"/>
      <c r="I75" s="471"/>
      <c r="J75" s="471"/>
      <c r="K75" s="471"/>
      <c r="L75" s="471"/>
      <c r="M75" s="471"/>
      <c r="N75" s="381"/>
      <c r="O75" s="382"/>
      <c r="P75" s="382"/>
      <c r="Q75" s="382"/>
      <c r="R75" s="382"/>
      <c r="S75" s="382"/>
      <c r="T75" s="469"/>
      <c r="U75" s="382"/>
      <c r="V75" s="382"/>
      <c r="W75" s="382"/>
      <c r="X75" s="382"/>
      <c r="Y75" s="382"/>
      <c r="Z75" s="469"/>
      <c r="AA75" s="382"/>
      <c r="AB75" s="382"/>
      <c r="AC75" s="382"/>
      <c r="AD75" s="382"/>
      <c r="AE75" s="381"/>
      <c r="AF75" s="381"/>
      <c r="AG75" s="381"/>
      <c r="AH75" s="381"/>
      <c r="AI75" s="381"/>
      <c r="AJ75" s="381"/>
      <c r="AK75" s="381"/>
    </row>
    <row r="76" spans="2:37">
      <c r="B76" s="471"/>
      <c r="C76" s="471"/>
      <c r="D76" s="471"/>
      <c r="E76" s="471"/>
      <c r="F76" s="471"/>
      <c r="G76" s="471"/>
      <c r="H76" s="471"/>
      <c r="I76" s="471"/>
      <c r="J76" s="471"/>
      <c r="K76" s="471"/>
      <c r="L76" s="471"/>
      <c r="M76" s="471"/>
      <c r="N76" s="381"/>
      <c r="O76" s="382"/>
      <c r="P76" s="382"/>
      <c r="Q76" s="382"/>
      <c r="R76" s="382"/>
      <c r="S76" s="382"/>
      <c r="T76" s="382"/>
      <c r="U76" s="382"/>
      <c r="V76" s="382"/>
      <c r="W76" s="382"/>
      <c r="X76" s="528"/>
      <c r="Y76" s="528"/>
      <c r="Z76" s="469"/>
      <c r="AA76" s="382"/>
      <c r="AB76" s="382"/>
      <c r="AC76" s="382"/>
      <c r="AD76" s="382"/>
      <c r="AE76" s="381"/>
      <c r="AF76" s="381"/>
      <c r="AG76" s="381"/>
      <c r="AH76" s="381"/>
      <c r="AI76" s="381"/>
      <c r="AJ76" s="381"/>
      <c r="AK76" s="381"/>
    </row>
    <row r="77" spans="2:37">
      <c r="B77" s="471"/>
      <c r="C77" s="471"/>
      <c r="D77" s="471"/>
      <c r="E77" s="471"/>
      <c r="F77" s="471"/>
      <c r="G77" s="471"/>
      <c r="H77" s="471"/>
      <c r="I77" s="471"/>
      <c r="J77" s="471"/>
      <c r="K77" s="471"/>
      <c r="L77" s="471"/>
      <c r="M77" s="471"/>
      <c r="N77" s="381"/>
      <c r="O77" s="382"/>
      <c r="P77" s="382" t="s">
        <v>702</v>
      </c>
      <c r="Q77" s="382" t="s">
        <v>703</v>
      </c>
      <c r="R77" s="382"/>
      <c r="S77" s="382"/>
      <c r="T77" s="382"/>
      <c r="U77" s="382"/>
      <c r="V77" s="382"/>
      <c r="W77" s="382"/>
      <c r="X77" s="382"/>
      <c r="Y77" s="382"/>
      <c r="Z77" s="469"/>
      <c r="AA77" s="382"/>
      <c r="AB77" s="382"/>
      <c r="AC77" s="382"/>
      <c r="AD77" s="382"/>
      <c r="AE77" s="381"/>
      <c r="AF77" s="381"/>
      <c r="AG77" s="381"/>
      <c r="AH77" s="381"/>
      <c r="AI77" s="381"/>
      <c r="AJ77" s="381"/>
      <c r="AK77" s="381"/>
    </row>
    <row r="78" spans="2:37">
      <c r="B78" s="471"/>
      <c r="C78" s="471"/>
      <c r="D78" s="471"/>
      <c r="E78" s="471"/>
      <c r="F78" s="471"/>
      <c r="G78" s="471"/>
      <c r="H78" s="471"/>
      <c r="I78" s="471"/>
      <c r="J78" s="471"/>
      <c r="K78" s="471"/>
      <c r="L78" s="471"/>
      <c r="M78" s="471"/>
      <c r="N78" s="381"/>
      <c r="O78" s="382"/>
      <c r="P78" s="382" t="s">
        <v>704</v>
      </c>
      <c r="Q78" s="382" t="s">
        <v>733</v>
      </c>
      <c r="R78" s="382" t="s">
        <v>734</v>
      </c>
      <c r="S78" s="382" t="s">
        <v>735</v>
      </c>
      <c r="T78" s="382" t="s">
        <v>736</v>
      </c>
      <c r="U78" s="382" t="s">
        <v>737</v>
      </c>
      <c r="V78" s="382" t="s">
        <v>738</v>
      </c>
      <c r="W78" s="382" t="s">
        <v>739</v>
      </c>
      <c r="X78" s="382" t="s">
        <v>740</v>
      </c>
      <c r="Y78" s="382" t="s">
        <v>741</v>
      </c>
      <c r="Z78" s="469" t="s">
        <v>742</v>
      </c>
      <c r="AA78" s="382" t="s">
        <v>719</v>
      </c>
      <c r="AB78" s="382" t="s">
        <v>705</v>
      </c>
      <c r="AC78" s="382" t="s">
        <v>407</v>
      </c>
      <c r="AD78" s="382"/>
      <c r="AE78" s="381"/>
      <c r="AF78" s="381"/>
      <c r="AG78" s="381"/>
      <c r="AH78" s="381"/>
      <c r="AI78" s="381"/>
      <c r="AJ78" s="381"/>
      <c r="AK78" s="381"/>
    </row>
    <row r="79" spans="2:37">
      <c r="B79" s="471"/>
      <c r="C79" s="471"/>
      <c r="D79" s="471"/>
      <c r="E79" s="471"/>
      <c r="F79" s="471"/>
      <c r="G79" s="471"/>
      <c r="H79" s="471"/>
      <c r="I79" s="471"/>
      <c r="J79" s="471"/>
      <c r="K79" s="471"/>
      <c r="L79" s="471"/>
      <c r="M79" s="471"/>
      <c r="N79" s="381"/>
      <c r="O79" s="382"/>
      <c r="P79" s="382" t="s">
        <v>706</v>
      </c>
      <c r="Q79" s="470">
        <v>28860</v>
      </c>
      <c r="R79" s="470">
        <v>38742</v>
      </c>
      <c r="S79" s="470">
        <v>27308</v>
      </c>
      <c r="T79" s="470">
        <v>28959</v>
      </c>
      <c r="U79" s="470">
        <v>39869</v>
      </c>
      <c r="V79" s="470">
        <v>50579</v>
      </c>
      <c r="W79" s="470">
        <v>60119</v>
      </c>
      <c r="X79" s="470">
        <v>64125</v>
      </c>
      <c r="Y79" s="470">
        <v>58444</v>
      </c>
      <c r="Z79" s="469">
        <v>64985</v>
      </c>
      <c r="AA79" s="470">
        <v>47501</v>
      </c>
      <c r="AB79" s="470">
        <v>55295</v>
      </c>
      <c r="AC79" s="470">
        <v>564786</v>
      </c>
      <c r="AD79" s="382"/>
      <c r="AE79" s="381"/>
      <c r="AF79" s="381"/>
      <c r="AG79" s="381"/>
      <c r="AH79" s="381"/>
      <c r="AI79" s="381"/>
      <c r="AJ79" s="381"/>
      <c r="AK79" s="381"/>
    </row>
    <row r="80" spans="2:37">
      <c r="B80" s="471"/>
      <c r="C80" s="471"/>
      <c r="D80" s="471"/>
      <c r="E80" s="471"/>
      <c r="F80" s="471"/>
      <c r="G80" s="471"/>
      <c r="H80" s="471"/>
      <c r="I80" s="471"/>
      <c r="J80" s="471"/>
      <c r="K80" s="471"/>
      <c r="L80" s="471"/>
      <c r="M80" s="471"/>
      <c r="N80" s="381"/>
      <c r="O80" s="382"/>
      <c r="P80" s="382" t="s">
        <v>709</v>
      </c>
      <c r="Q80" s="470">
        <v>35375</v>
      </c>
      <c r="R80" s="470">
        <v>41647</v>
      </c>
      <c r="S80" s="470">
        <v>62369</v>
      </c>
      <c r="T80" s="470">
        <v>43673</v>
      </c>
      <c r="U80" s="470">
        <v>47077</v>
      </c>
      <c r="V80" s="470">
        <v>48872</v>
      </c>
      <c r="W80" s="470">
        <v>71906</v>
      </c>
      <c r="X80" s="470">
        <v>82876</v>
      </c>
      <c r="Y80" s="470">
        <v>68731</v>
      </c>
      <c r="Z80" s="469">
        <v>69906</v>
      </c>
      <c r="AA80" s="470">
        <v>57591</v>
      </c>
      <c r="AB80" s="470">
        <v>63607</v>
      </c>
      <c r="AC80" s="470">
        <v>693630</v>
      </c>
      <c r="AD80" s="382"/>
      <c r="AE80" s="381"/>
      <c r="AF80" s="381"/>
      <c r="AG80" s="381"/>
      <c r="AH80" s="381"/>
      <c r="AI80" s="381"/>
      <c r="AJ80" s="381"/>
      <c r="AK80" s="381"/>
    </row>
    <row r="81" spans="2:37">
      <c r="B81" s="471"/>
      <c r="C81" s="471"/>
      <c r="D81" s="471"/>
      <c r="E81" s="471"/>
      <c r="F81" s="471"/>
      <c r="G81" s="471"/>
      <c r="H81" s="471"/>
      <c r="I81" s="471"/>
      <c r="J81" s="471"/>
      <c r="K81" s="471"/>
      <c r="L81" s="471"/>
      <c r="M81" s="471"/>
      <c r="N81" s="381"/>
      <c r="O81" s="382"/>
      <c r="P81" s="382" t="s">
        <v>710</v>
      </c>
      <c r="Q81" s="470">
        <v>44068</v>
      </c>
      <c r="R81" s="470">
        <v>39943</v>
      </c>
      <c r="S81" s="470">
        <v>49726</v>
      </c>
      <c r="T81" s="470">
        <v>48408</v>
      </c>
      <c r="U81" s="470">
        <v>52150</v>
      </c>
      <c r="V81" s="470">
        <v>60998</v>
      </c>
      <c r="W81" s="470">
        <v>69606</v>
      </c>
      <c r="X81" s="470">
        <v>69035</v>
      </c>
      <c r="Y81" s="470">
        <v>62188</v>
      </c>
      <c r="Z81" s="469">
        <v>62996</v>
      </c>
      <c r="AA81" s="470">
        <v>60474</v>
      </c>
      <c r="AB81" s="470">
        <v>81920</v>
      </c>
      <c r="AC81" s="470">
        <v>701512</v>
      </c>
      <c r="AD81" s="382"/>
      <c r="AE81" s="381"/>
      <c r="AF81" s="381"/>
      <c r="AG81" s="381"/>
      <c r="AH81" s="381"/>
      <c r="AI81" s="381"/>
      <c r="AJ81" s="381"/>
      <c r="AK81" s="381"/>
    </row>
    <row r="82" spans="2:37">
      <c r="B82" s="471"/>
      <c r="C82" s="471"/>
      <c r="D82" s="471"/>
      <c r="E82" s="471"/>
      <c r="F82" s="471"/>
      <c r="G82" s="471"/>
      <c r="H82" s="471"/>
      <c r="I82" s="471"/>
      <c r="J82" s="471"/>
      <c r="K82" s="471"/>
      <c r="L82" s="471"/>
      <c r="M82" s="471"/>
      <c r="N82" s="381"/>
      <c r="O82" s="382"/>
      <c r="P82" s="382" t="s">
        <v>407</v>
      </c>
      <c r="Q82" s="470">
        <v>108303</v>
      </c>
      <c r="R82" s="470">
        <v>120332</v>
      </c>
      <c r="S82" s="470">
        <v>139403</v>
      </c>
      <c r="T82" s="470">
        <v>121040</v>
      </c>
      <c r="U82" s="470">
        <v>139096</v>
      </c>
      <c r="V82" s="470">
        <v>160449</v>
      </c>
      <c r="W82" s="470">
        <v>201631</v>
      </c>
      <c r="X82" s="470">
        <v>216036</v>
      </c>
      <c r="Y82" s="470">
        <v>189363</v>
      </c>
      <c r="Z82" s="469">
        <v>197887</v>
      </c>
      <c r="AA82" s="470">
        <v>165566</v>
      </c>
      <c r="AB82" s="470">
        <v>200822</v>
      </c>
      <c r="AC82" s="470">
        <v>1959928</v>
      </c>
      <c r="AD82" s="382"/>
      <c r="AE82" s="381"/>
      <c r="AF82" s="381"/>
      <c r="AG82" s="381"/>
      <c r="AH82" s="381"/>
      <c r="AI82" s="381"/>
      <c r="AJ82" s="381"/>
      <c r="AK82" s="381"/>
    </row>
    <row r="83" spans="2:37">
      <c r="B83" s="471"/>
      <c r="C83" s="471"/>
      <c r="D83" s="471"/>
      <c r="E83" s="471"/>
      <c r="F83" s="471"/>
      <c r="G83" s="471"/>
      <c r="H83" s="471"/>
      <c r="I83" s="471"/>
      <c r="J83" s="471"/>
      <c r="K83" s="471"/>
      <c r="L83" s="471"/>
      <c r="M83" s="471"/>
      <c r="N83" s="381"/>
      <c r="O83" s="382"/>
      <c r="P83" s="529" t="s">
        <v>743</v>
      </c>
      <c r="Q83" s="382"/>
      <c r="R83" s="382"/>
      <c r="S83" s="382"/>
      <c r="T83" s="382"/>
      <c r="U83" s="382"/>
      <c r="V83" s="382"/>
      <c r="W83" s="382"/>
      <c r="X83" s="382"/>
      <c r="Y83" s="382"/>
      <c r="Z83" s="469"/>
      <c r="AA83" s="382"/>
      <c r="AB83" s="382"/>
      <c r="AC83" s="382"/>
      <c r="AD83" s="382"/>
      <c r="AE83" s="381"/>
      <c r="AF83" s="381"/>
      <c r="AG83" s="381"/>
      <c r="AH83" s="381"/>
      <c r="AI83" s="381"/>
      <c r="AJ83" s="381"/>
      <c r="AK83" s="381"/>
    </row>
    <row r="84" spans="2:37">
      <c r="B84" s="471"/>
      <c r="C84" s="471"/>
      <c r="D84" s="471"/>
      <c r="E84" s="471"/>
      <c r="F84" s="471"/>
      <c r="G84" s="471"/>
      <c r="H84" s="471"/>
      <c r="I84" s="471"/>
      <c r="J84" s="471"/>
      <c r="K84" s="471"/>
      <c r="L84" s="471"/>
      <c r="M84" s="471"/>
      <c r="N84" s="381"/>
      <c r="O84" s="381"/>
      <c r="P84" s="381"/>
      <c r="Q84" s="381"/>
      <c r="R84" s="381"/>
      <c r="S84" s="381"/>
      <c r="T84" s="486"/>
      <c r="U84" s="381"/>
      <c r="V84" s="381"/>
      <c r="W84" s="381"/>
      <c r="X84" s="381"/>
      <c r="Y84" s="381"/>
      <c r="Z84" s="486"/>
      <c r="AA84" s="381"/>
      <c r="AB84" s="381"/>
      <c r="AC84" s="381"/>
      <c r="AD84" s="381"/>
      <c r="AE84" s="381"/>
      <c r="AF84" s="381"/>
      <c r="AG84" s="381"/>
      <c r="AH84" s="381"/>
      <c r="AI84" s="381"/>
      <c r="AJ84" s="381"/>
      <c r="AK84" s="381"/>
    </row>
    <row r="85" spans="2:37">
      <c r="B85" s="471"/>
      <c r="C85" s="471"/>
      <c r="D85" s="471"/>
      <c r="E85" s="471"/>
      <c r="F85" s="471"/>
      <c r="G85" s="471"/>
      <c r="H85" s="471"/>
      <c r="I85" s="471"/>
      <c r="J85" s="471"/>
      <c r="K85" s="471"/>
      <c r="L85" s="471"/>
      <c r="M85" s="471"/>
      <c r="N85" s="381"/>
      <c r="O85" s="381"/>
      <c r="P85" s="381"/>
      <c r="Q85" s="381"/>
      <c r="R85" s="381"/>
      <c r="S85" s="381"/>
      <c r="T85" s="486"/>
      <c r="U85" s="381"/>
      <c r="V85" s="381"/>
      <c r="W85" s="381"/>
      <c r="X85" s="381"/>
      <c r="Y85" s="381"/>
      <c r="Z85" s="486"/>
      <c r="AA85" s="381"/>
      <c r="AB85" s="381"/>
      <c r="AC85" s="381"/>
      <c r="AD85" s="381"/>
      <c r="AE85" s="381"/>
      <c r="AF85" s="381"/>
      <c r="AG85" s="381"/>
      <c r="AH85" s="381"/>
      <c r="AI85" s="381"/>
      <c r="AJ85" s="381"/>
      <c r="AK85" s="381"/>
    </row>
    <row r="86" spans="2:37">
      <c r="B86" s="471"/>
      <c r="C86" s="471"/>
      <c r="D86" s="471"/>
      <c r="E86" s="471"/>
      <c r="F86" s="471"/>
      <c r="G86" s="471"/>
      <c r="H86" s="471"/>
      <c r="I86" s="471"/>
      <c r="J86" s="471"/>
      <c r="K86" s="471"/>
      <c r="L86" s="471"/>
      <c r="M86" s="471"/>
      <c r="N86" s="381"/>
      <c r="O86" s="381"/>
      <c r="P86" s="381"/>
      <c r="Q86" s="381"/>
      <c r="R86" s="381"/>
      <c r="S86" s="381"/>
      <c r="T86" s="381"/>
      <c r="U86" s="381"/>
      <c r="V86" s="381"/>
      <c r="W86" s="381"/>
      <c r="X86" s="381"/>
      <c r="Y86" s="381"/>
      <c r="Z86" s="486"/>
      <c r="AA86" s="381"/>
      <c r="AB86" s="381"/>
      <c r="AC86" s="381"/>
      <c r="AD86" s="381"/>
      <c r="AE86" s="381"/>
      <c r="AF86" s="381"/>
      <c r="AG86" s="381"/>
      <c r="AH86" s="381"/>
      <c r="AI86" s="381"/>
      <c r="AJ86" s="381"/>
      <c r="AK86" s="381"/>
    </row>
    <row r="87" spans="2:37">
      <c r="B87" s="471"/>
      <c r="C87" s="471"/>
      <c r="D87" s="471"/>
      <c r="E87" s="471"/>
      <c r="F87" s="471"/>
      <c r="G87" s="471"/>
      <c r="H87" s="471"/>
      <c r="I87" s="471"/>
      <c r="J87" s="471"/>
      <c r="K87" s="471"/>
      <c r="L87" s="471"/>
      <c r="M87" s="471"/>
      <c r="N87" s="381"/>
      <c r="O87" s="381"/>
      <c r="P87" s="381"/>
      <c r="Q87" s="381"/>
      <c r="R87" s="381"/>
      <c r="S87" s="381"/>
      <c r="T87" s="486"/>
      <c r="U87" s="381"/>
      <c r="V87" s="381"/>
      <c r="W87" s="381"/>
      <c r="X87" s="381"/>
      <c r="Y87" s="381"/>
      <c r="Z87" s="486"/>
      <c r="AA87" s="381"/>
      <c r="AB87" s="381"/>
      <c r="AC87" s="381"/>
      <c r="AD87" s="381"/>
      <c r="AE87" s="381"/>
      <c r="AF87" s="381"/>
      <c r="AG87" s="381"/>
      <c r="AH87" s="381"/>
      <c r="AI87" s="381"/>
      <c r="AJ87" s="381"/>
      <c r="AK87" s="381"/>
    </row>
    <row r="88" spans="2:37">
      <c r="B88" s="471"/>
      <c r="C88" s="471"/>
      <c r="D88" s="471"/>
      <c r="E88" s="471"/>
      <c r="F88" s="471"/>
      <c r="G88" s="471"/>
      <c r="H88" s="471"/>
      <c r="I88" s="471"/>
      <c r="J88" s="471"/>
      <c r="K88" s="471"/>
      <c r="L88" s="471"/>
      <c r="M88" s="471"/>
      <c r="N88" s="381"/>
      <c r="O88" s="381"/>
      <c r="P88" s="381"/>
      <c r="Q88" s="381"/>
      <c r="R88" s="381"/>
      <c r="S88" s="381"/>
      <c r="T88" s="486"/>
      <c r="U88" s="381"/>
      <c r="V88" s="381"/>
      <c r="W88" s="381"/>
      <c r="X88" s="381"/>
      <c r="Y88" s="381"/>
      <c r="Z88" s="486"/>
      <c r="AA88" s="381"/>
      <c r="AB88" s="381"/>
      <c r="AC88" s="381"/>
      <c r="AD88" s="381"/>
      <c r="AE88" s="381"/>
      <c r="AF88" s="381"/>
      <c r="AG88" s="381"/>
      <c r="AH88" s="381"/>
      <c r="AI88" s="381"/>
      <c r="AJ88" s="381"/>
      <c r="AK88" s="381"/>
    </row>
    <row r="89" spans="2:37">
      <c r="B89" s="471"/>
      <c r="C89" s="471"/>
      <c r="D89" s="471"/>
      <c r="E89" s="471"/>
      <c r="F89" s="471"/>
      <c r="G89" s="471"/>
      <c r="H89" s="471"/>
      <c r="I89" s="471"/>
      <c r="J89" s="471"/>
      <c r="K89" s="471"/>
      <c r="L89" s="471"/>
      <c r="M89" s="471"/>
      <c r="N89" s="381"/>
      <c r="O89" s="381"/>
      <c r="P89" s="381"/>
      <c r="Q89" s="381"/>
      <c r="R89" s="381"/>
      <c r="S89" s="381"/>
      <c r="T89" s="486"/>
      <c r="U89" s="381"/>
      <c r="V89" s="381"/>
      <c r="W89" s="381"/>
      <c r="X89" s="381"/>
      <c r="Y89" s="381"/>
      <c r="Z89" s="486"/>
      <c r="AA89" s="381"/>
      <c r="AB89" s="381"/>
      <c r="AC89" s="381"/>
      <c r="AD89" s="381"/>
      <c r="AE89" s="381"/>
      <c r="AF89" s="381"/>
      <c r="AG89" s="381"/>
      <c r="AH89" s="381"/>
      <c r="AI89" s="381"/>
      <c r="AJ89" s="381"/>
      <c r="AK89" s="381"/>
    </row>
    <row r="90" spans="2:37">
      <c r="B90" s="471"/>
      <c r="C90" s="471"/>
      <c r="D90" s="471"/>
      <c r="E90" s="471"/>
      <c r="F90" s="471"/>
      <c r="G90" s="471"/>
      <c r="H90" s="471"/>
      <c r="I90" s="471"/>
      <c r="J90" s="471"/>
      <c r="K90" s="471"/>
      <c r="L90" s="471"/>
      <c r="M90" s="471"/>
      <c r="N90" s="381"/>
      <c r="O90" s="381"/>
      <c r="P90" s="381"/>
      <c r="Q90" s="381"/>
      <c r="R90" s="381"/>
      <c r="S90" s="381"/>
      <c r="T90" s="486"/>
      <c r="U90" s="381"/>
      <c r="V90" s="381"/>
      <c r="W90" s="381"/>
      <c r="X90" s="381"/>
      <c r="Y90" s="381"/>
      <c r="Z90" s="486"/>
      <c r="AA90" s="381"/>
      <c r="AB90" s="381"/>
      <c r="AC90" s="381"/>
      <c r="AD90" s="381"/>
      <c r="AE90" s="381"/>
      <c r="AF90" s="381"/>
      <c r="AG90" s="381"/>
      <c r="AH90" s="381"/>
      <c r="AI90" s="381"/>
      <c r="AJ90" s="381"/>
      <c r="AK90" s="381"/>
    </row>
    <row r="91" spans="2:37">
      <c r="B91" s="471"/>
      <c r="C91" s="471"/>
      <c r="D91" s="471"/>
      <c r="E91" s="471"/>
      <c r="F91" s="471"/>
      <c r="G91" s="471"/>
      <c r="H91" s="471"/>
      <c r="I91" s="471"/>
      <c r="J91" s="471"/>
      <c r="K91" s="471"/>
      <c r="L91" s="471"/>
      <c r="M91" s="471"/>
      <c r="N91" s="471"/>
      <c r="O91" s="471"/>
      <c r="P91" s="471"/>
      <c r="Q91" s="471"/>
      <c r="R91" s="471"/>
      <c r="S91" s="471"/>
      <c r="T91" s="498"/>
      <c r="U91" s="471"/>
      <c r="V91" s="471"/>
      <c r="W91" s="471"/>
      <c r="X91" s="471"/>
      <c r="Y91" s="471"/>
      <c r="Z91" s="498"/>
      <c r="AA91" s="471"/>
      <c r="AB91" s="471"/>
      <c r="AC91" s="471"/>
    </row>
    <row r="92" spans="2:37">
      <c r="B92" s="471"/>
      <c r="C92" s="471"/>
      <c r="D92" s="471"/>
      <c r="E92" s="471"/>
      <c r="F92" s="471"/>
      <c r="G92" s="471"/>
      <c r="H92" s="471"/>
      <c r="I92" s="471"/>
      <c r="J92" s="471"/>
      <c r="K92" s="471"/>
      <c r="L92" s="471"/>
      <c r="M92" s="471"/>
      <c r="N92" s="471"/>
      <c r="O92" s="471"/>
      <c r="P92" s="471"/>
      <c r="Q92" s="471"/>
      <c r="R92" s="471"/>
      <c r="S92" s="471"/>
      <c r="T92" s="498"/>
      <c r="U92" s="471"/>
      <c r="V92" s="471"/>
      <c r="W92" s="471"/>
      <c r="X92" s="471"/>
      <c r="Y92" s="471"/>
      <c r="Z92" s="498"/>
      <c r="AA92" s="471"/>
      <c r="AB92" s="471"/>
      <c r="AC92" s="471"/>
    </row>
    <row r="93" spans="2:37">
      <c r="B93" s="471"/>
      <c r="C93" s="471"/>
      <c r="D93" s="471"/>
      <c r="E93" s="471"/>
      <c r="F93" s="471"/>
      <c r="G93" s="471"/>
      <c r="H93" s="471"/>
      <c r="I93" s="471"/>
      <c r="J93" s="471"/>
      <c r="K93" s="471"/>
      <c r="L93" s="471"/>
      <c r="M93" s="471"/>
      <c r="N93" s="471"/>
      <c r="O93" s="471"/>
      <c r="P93" s="471"/>
      <c r="Q93" s="471"/>
      <c r="R93" s="471"/>
      <c r="S93" s="471"/>
      <c r="T93" s="498"/>
      <c r="U93" s="471"/>
      <c r="V93" s="471"/>
      <c r="W93" s="471"/>
      <c r="X93" s="471"/>
      <c r="Y93" s="471"/>
      <c r="Z93" s="498"/>
      <c r="AA93" s="471"/>
      <c r="AB93" s="471"/>
      <c r="AC93" s="471"/>
    </row>
    <row r="94" spans="2:37">
      <c r="B94" s="471"/>
      <c r="C94" s="471"/>
      <c r="D94" s="471"/>
      <c r="E94" s="471"/>
      <c r="F94" s="471"/>
      <c r="G94" s="471"/>
      <c r="H94" s="471"/>
      <c r="I94" s="471"/>
      <c r="J94" s="471"/>
      <c r="K94" s="471"/>
      <c r="L94" s="471"/>
      <c r="M94" s="471"/>
      <c r="N94" s="471"/>
      <c r="O94" s="471"/>
      <c r="P94" s="471"/>
      <c r="Q94" s="471"/>
      <c r="R94" s="471"/>
      <c r="S94" s="471"/>
      <c r="T94" s="498"/>
      <c r="U94" s="471"/>
      <c r="V94" s="471"/>
      <c r="W94" s="471"/>
      <c r="X94" s="471"/>
      <c r="Y94" s="471"/>
      <c r="Z94" s="498"/>
      <c r="AA94" s="471"/>
      <c r="AB94" s="471"/>
      <c r="AC94" s="471"/>
    </row>
    <row r="95" spans="2:37">
      <c r="B95" s="471"/>
      <c r="C95" s="471"/>
      <c r="D95" s="471"/>
      <c r="E95" s="471"/>
      <c r="F95" s="471"/>
      <c r="G95" s="471"/>
      <c r="H95" s="471"/>
      <c r="I95" s="471"/>
      <c r="J95" s="471"/>
      <c r="K95" s="471"/>
      <c r="L95" s="471"/>
      <c r="M95" s="471"/>
      <c r="N95" s="471"/>
      <c r="O95" s="471"/>
      <c r="P95" s="471"/>
      <c r="Q95" s="471"/>
      <c r="R95" s="471"/>
      <c r="S95" s="471"/>
      <c r="T95" s="498"/>
      <c r="U95" s="471"/>
      <c r="V95" s="471"/>
      <c r="W95" s="471"/>
      <c r="X95" s="471"/>
      <c r="Y95" s="471"/>
      <c r="Z95" s="498"/>
      <c r="AA95" s="471"/>
      <c r="AB95" s="471"/>
      <c r="AC95" s="471"/>
    </row>
    <row r="96" spans="2:37">
      <c r="B96" s="471"/>
      <c r="C96" s="471"/>
      <c r="D96" s="471"/>
      <c r="E96" s="471"/>
      <c r="F96" s="471"/>
      <c r="G96" s="471"/>
      <c r="H96" s="471"/>
      <c r="I96" s="471"/>
      <c r="J96" s="471"/>
      <c r="K96" s="471"/>
      <c r="L96" s="471"/>
      <c r="M96" s="471"/>
      <c r="N96" s="471"/>
      <c r="O96" s="471"/>
      <c r="P96" s="471"/>
      <c r="Q96" s="471"/>
      <c r="R96" s="471"/>
      <c r="S96" s="471"/>
      <c r="T96" s="498"/>
      <c r="U96" s="471"/>
      <c r="V96" s="471"/>
      <c r="W96" s="471"/>
      <c r="X96" s="471"/>
      <c r="Y96" s="471"/>
      <c r="Z96" s="498"/>
      <c r="AA96" s="471"/>
      <c r="AB96" s="471"/>
      <c r="AC96" s="471"/>
    </row>
    <row r="97" spans="2:29">
      <c r="B97" s="471"/>
      <c r="C97" s="471"/>
      <c r="D97" s="471"/>
      <c r="E97" s="471"/>
      <c r="F97" s="471"/>
      <c r="G97" s="471"/>
      <c r="H97" s="471"/>
      <c r="I97" s="471"/>
      <c r="J97" s="471"/>
      <c r="K97" s="471"/>
      <c r="L97" s="471"/>
      <c r="M97" s="471"/>
      <c r="N97" s="471"/>
      <c r="O97" s="471"/>
      <c r="P97" s="471"/>
      <c r="Q97" s="471"/>
      <c r="R97" s="471"/>
      <c r="S97" s="471"/>
      <c r="T97" s="498"/>
      <c r="U97" s="471"/>
      <c r="V97" s="471"/>
      <c r="W97" s="471"/>
      <c r="X97" s="471"/>
      <c r="Y97" s="471"/>
      <c r="Z97" s="498"/>
      <c r="AA97" s="471"/>
      <c r="AB97" s="471"/>
      <c r="AC97" s="471"/>
    </row>
    <row r="98" spans="2:29">
      <c r="B98" s="471"/>
      <c r="C98" s="471"/>
      <c r="D98" s="471"/>
      <c r="E98" s="471"/>
      <c r="F98" s="471"/>
      <c r="G98" s="471"/>
      <c r="H98" s="471"/>
      <c r="I98" s="471"/>
      <c r="J98" s="471"/>
      <c r="K98" s="471"/>
      <c r="L98" s="471"/>
      <c r="M98" s="471"/>
      <c r="N98" s="471"/>
      <c r="O98" s="471"/>
      <c r="P98" s="471"/>
      <c r="Q98" s="471"/>
      <c r="R98" s="471"/>
      <c r="S98" s="471"/>
      <c r="T98" s="498"/>
      <c r="U98" s="471"/>
      <c r="V98" s="471"/>
      <c r="W98" s="471"/>
      <c r="X98" s="471"/>
      <c r="Y98" s="471"/>
      <c r="Z98" s="498"/>
      <c r="AA98" s="471"/>
      <c r="AB98" s="471"/>
      <c r="AC98" s="471"/>
    </row>
  </sheetData>
  <mergeCells count="8">
    <mergeCell ref="Q26:R26"/>
    <mergeCell ref="B36:E36"/>
    <mergeCell ref="B70:L70"/>
    <mergeCell ref="B6:J6"/>
    <mergeCell ref="B7:F7"/>
    <mergeCell ref="G7:J7"/>
    <mergeCell ref="B12:E12"/>
    <mergeCell ref="H12:J13"/>
  </mergeCells>
  <pageMargins left="0.7" right="0.7" top="0.75" bottom="0.75" header="0.3" footer="0.3"/>
  <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3:T73"/>
  <sheetViews>
    <sheetView topLeftCell="A28" workbookViewId="0"/>
  </sheetViews>
  <sheetFormatPr baseColWidth="10" defaultRowHeight="15"/>
  <cols>
    <col min="1" max="1" width="11.42578125" style="291"/>
    <col min="2" max="2" width="14.85546875" style="291" bestFit="1" customWidth="1"/>
    <col min="3" max="257" width="11.42578125" style="291"/>
    <col min="258" max="258" width="14.85546875" style="291" bestFit="1" customWidth="1"/>
    <col min="259" max="513" width="11.42578125" style="291"/>
    <col min="514" max="514" width="14.85546875" style="291" bestFit="1" customWidth="1"/>
    <col min="515" max="769" width="11.42578125" style="291"/>
    <col min="770" max="770" width="14.85546875" style="291" bestFit="1" customWidth="1"/>
    <col min="771" max="1025" width="11.42578125" style="291"/>
    <col min="1026" max="1026" width="14.85546875" style="291" bestFit="1" customWidth="1"/>
    <col min="1027" max="1281" width="11.42578125" style="291"/>
    <col min="1282" max="1282" width="14.85546875" style="291" bestFit="1" customWidth="1"/>
    <col min="1283" max="1537" width="11.42578125" style="291"/>
    <col min="1538" max="1538" width="14.85546875" style="291" bestFit="1" customWidth="1"/>
    <col min="1539" max="1793" width="11.42578125" style="291"/>
    <col min="1794" max="1794" width="14.85546875" style="291" bestFit="1" customWidth="1"/>
    <col min="1795" max="2049" width="11.42578125" style="291"/>
    <col min="2050" max="2050" width="14.85546875" style="291" bestFit="1" customWidth="1"/>
    <col min="2051" max="2305" width="11.42578125" style="291"/>
    <col min="2306" max="2306" width="14.85546875" style="291" bestFit="1" customWidth="1"/>
    <col min="2307" max="2561" width="11.42578125" style="291"/>
    <col min="2562" max="2562" width="14.85546875" style="291" bestFit="1" customWidth="1"/>
    <col min="2563" max="2817" width="11.42578125" style="291"/>
    <col min="2818" max="2818" width="14.85546875" style="291" bestFit="1" customWidth="1"/>
    <col min="2819" max="3073" width="11.42578125" style="291"/>
    <col min="3074" max="3074" width="14.85546875" style="291" bestFit="1" customWidth="1"/>
    <col min="3075" max="3329" width="11.42578125" style="291"/>
    <col min="3330" max="3330" width="14.85546875" style="291" bestFit="1" customWidth="1"/>
    <col min="3331" max="3585" width="11.42578125" style="291"/>
    <col min="3586" max="3586" width="14.85546875" style="291" bestFit="1" customWidth="1"/>
    <col min="3587" max="3841" width="11.42578125" style="291"/>
    <col min="3842" max="3842" width="14.85546875" style="291" bestFit="1" customWidth="1"/>
    <col min="3843" max="4097" width="11.42578125" style="291"/>
    <col min="4098" max="4098" width="14.85546875" style="291" bestFit="1" customWidth="1"/>
    <col min="4099" max="4353" width="11.42578125" style="291"/>
    <col min="4354" max="4354" width="14.85546875" style="291" bestFit="1" customWidth="1"/>
    <col min="4355" max="4609" width="11.42578125" style="291"/>
    <col min="4610" max="4610" width="14.85546875" style="291" bestFit="1" customWidth="1"/>
    <col min="4611" max="4865" width="11.42578125" style="291"/>
    <col min="4866" max="4866" width="14.85546875" style="291" bestFit="1" customWidth="1"/>
    <col min="4867" max="5121" width="11.42578125" style="291"/>
    <col min="5122" max="5122" width="14.85546875" style="291" bestFit="1" customWidth="1"/>
    <col min="5123" max="5377" width="11.42578125" style="291"/>
    <col min="5378" max="5378" width="14.85546875" style="291" bestFit="1" customWidth="1"/>
    <col min="5379" max="5633" width="11.42578125" style="291"/>
    <col min="5634" max="5634" width="14.85546875" style="291" bestFit="1" customWidth="1"/>
    <col min="5635" max="5889" width="11.42578125" style="291"/>
    <col min="5890" max="5890" width="14.85546875" style="291" bestFit="1" customWidth="1"/>
    <col min="5891" max="6145" width="11.42578125" style="291"/>
    <col min="6146" max="6146" width="14.85546875" style="291" bestFit="1" customWidth="1"/>
    <col min="6147" max="6401" width="11.42578125" style="291"/>
    <col min="6402" max="6402" width="14.85546875" style="291" bestFit="1" customWidth="1"/>
    <col min="6403" max="6657" width="11.42578125" style="291"/>
    <col min="6658" max="6658" width="14.85546875" style="291" bestFit="1" customWidth="1"/>
    <col min="6659" max="6913" width="11.42578125" style="291"/>
    <col min="6914" max="6914" width="14.85546875" style="291" bestFit="1" customWidth="1"/>
    <col min="6915" max="7169" width="11.42578125" style="291"/>
    <col min="7170" max="7170" width="14.85546875" style="291" bestFit="1" customWidth="1"/>
    <col min="7171" max="7425" width="11.42578125" style="291"/>
    <col min="7426" max="7426" width="14.85546875" style="291" bestFit="1" customWidth="1"/>
    <col min="7427" max="7681" width="11.42578125" style="291"/>
    <col min="7682" max="7682" width="14.85546875" style="291" bestFit="1" customWidth="1"/>
    <col min="7683" max="7937" width="11.42578125" style="291"/>
    <col min="7938" max="7938" width="14.85546875" style="291" bestFit="1" customWidth="1"/>
    <col min="7939" max="8193" width="11.42578125" style="291"/>
    <col min="8194" max="8194" width="14.85546875" style="291" bestFit="1" customWidth="1"/>
    <col min="8195" max="8449" width="11.42578125" style="291"/>
    <col min="8450" max="8450" width="14.85546875" style="291" bestFit="1" customWidth="1"/>
    <col min="8451" max="8705" width="11.42578125" style="291"/>
    <col min="8706" max="8706" width="14.85546875" style="291" bestFit="1" customWidth="1"/>
    <col min="8707" max="8961" width="11.42578125" style="291"/>
    <col min="8962" max="8962" width="14.85546875" style="291" bestFit="1" customWidth="1"/>
    <col min="8963" max="9217" width="11.42578125" style="291"/>
    <col min="9218" max="9218" width="14.85546875" style="291" bestFit="1" customWidth="1"/>
    <col min="9219" max="9473" width="11.42578125" style="291"/>
    <col min="9474" max="9474" width="14.85546875" style="291" bestFit="1" customWidth="1"/>
    <col min="9475" max="9729" width="11.42578125" style="291"/>
    <col min="9730" max="9730" width="14.85546875" style="291" bestFit="1" customWidth="1"/>
    <col min="9731" max="9985" width="11.42578125" style="291"/>
    <col min="9986" max="9986" width="14.85546875" style="291" bestFit="1" customWidth="1"/>
    <col min="9987" max="10241" width="11.42578125" style="291"/>
    <col min="10242" max="10242" width="14.85546875" style="291" bestFit="1" customWidth="1"/>
    <col min="10243" max="10497" width="11.42578125" style="291"/>
    <col min="10498" max="10498" width="14.85546875" style="291" bestFit="1" customWidth="1"/>
    <col min="10499" max="10753" width="11.42578125" style="291"/>
    <col min="10754" max="10754" width="14.85546875" style="291" bestFit="1" customWidth="1"/>
    <col min="10755" max="11009" width="11.42578125" style="291"/>
    <col min="11010" max="11010" width="14.85546875" style="291" bestFit="1" customWidth="1"/>
    <col min="11011" max="11265" width="11.42578125" style="291"/>
    <col min="11266" max="11266" width="14.85546875" style="291" bestFit="1" customWidth="1"/>
    <col min="11267" max="11521" width="11.42578125" style="291"/>
    <col min="11522" max="11522" width="14.85546875" style="291" bestFit="1" customWidth="1"/>
    <col min="11523" max="11777" width="11.42578125" style="291"/>
    <col min="11778" max="11778" width="14.85546875" style="291" bestFit="1" customWidth="1"/>
    <col min="11779" max="12033" width="11.42578125" style="291"/>
    <col min="12034" max="12034" width="14.85546875" style="291" bestFit="1" customWidth="1"/>
    <col min="12035" max="12289" width="11.42578125" style="291"/>
    <col min="12290" max="12290" width="14.85546875" style="291" bestFit="1" customWidth="1"/>
    <col min="12291" max="12545" width="11.42578125" style="291"/>
    <col min="12546" max="12546" width="14.85546875" style="291" bestFit="1" customWidth="1"/>
    <col min="12547" max="12801" width="11.42578125" style="291"/>
    <col min="12802" max="12802" width="14.85546875" style="291" bestFit="1" customWidth="1"/>
    <col min="12803" max="13057" width="11.42578125" style="291"/>
    <col min="13058" max="13058" width="14.85546875" style="291" bestFit="1" customWidth="1"/>
    <col min="13059" max="13313" width="11.42578125" style="291"/>
    <col min="13314" max="13314" width="14.85546875" style="291" bestFit="1" customWidth="1"/>
    <col min="13315" max="13569" width="11.42578125" style="291"/>
    <col min="13570" max="13570" width="14.85546875" style="291" bestFit="1" customWidth="1"/>
    <col min="13571" max="13825" width="11.42578125" style="291"/>
    <col min="13826" max="13826" width="14.85546875" style="291" bestFit="1" customWidth="1"/>
    <col min="13827" max="14081" width="11.42578125" style="291"/>
    <col min="14082" max="14082" width="14.85546875" style="291" bestFit="1" customWidth="1"/>
    <col min="14083" max="14337" width="11.42578125" style="291"/>
    <col min="14338" max="14338" width="14.85546875" style="291" bestFit="1" customWidth="1"/>
    <col min="14339" max="14593" width="11.42578125" style="291"/>
    <col min="14594" max="14594" width="14.85546875" style="291" bestFit="1" customWidth="1"/>
    <col min="14595" max="14849" width="11.42578125" style="291"/>
    <col min="14850" max="14850" width="14.85546875" style="291" bestFit="1" customWidth="1"/>
    <col min="14851" max="15105" width="11.42578125" style="291"/>
    <col min="15106" max="15106" width="14.85546875" style="291" bestFit="1" customWidth="1"/>
    <col min="15107" max="15361" width="11.42578125" style="291"/>
    <col min="15362" max="15362" width="14.85546875" style="291" bestFit="1" customWidth="1"/>
    <col min="15363" max="15617" width="11.42578125" style="291"/>
    <col min="15618" max="15618" width="14.85546875" style="291" bestFit="1" customWidth="1"/>
    <col min="15619" max="15873" width="11.42578125" style="291"/>
    <col min="15874" max="15874" width="14.85546875" style="291" bestFit="1" customWidth="1"/>
    <col min="15875" max="16129" width="11.42578125" style="291"/>
    <col min="16130" max="16130" width="14.85546875" style="291" bestFit="1" customWidth="1"/>
    <col min="16131" max="16384" width="11.42578125" style="291"/>
  </cols>
  <sheetData>
    <row r="3" spans="2:20" ht="26.25">
      <c r="C3" s="619" t="s">
        <v>687</v>
      </c>
      <c r="D3" s="619"/>
      <c r="E3" s="619"/>
      <c r="F3" s="619"/>
      <c r="G3" s="619"/>
      <c r="H3" s="619"/>
      <c r="I3" s="619"/>
      <c r="J3" s="619"/>
      <c r="K3" s="619"/>
      <c r="L3" s="449"/>
      <c r="M3" s="449"/>
      <c r="N3" s="449"/>
      <c r="O3" s="449"/>
      <c r="P3" s="449"/>
      <c r="Q3" s="449"/>
      <c r="R3" s="449"/>
      <c r="S3" s="449"/>
      <c r="T3" s="449"/>
    </row>
    <row r="4" spans="2:20" ht="20.25">
      <c r="C4" s="620" t="s">
        <v>707</v>
      </c>
      <c r="D4" s="620"/>
      <c r="E4" s="620"/>
      <c r="F4" s="620"/>
      <c r="G4" s="620"/>
      <c r="H4" s="621" t="s">
        <v>675</v>
      </c>
      <c r="I4" s="621"/>
      <c r="J4" s="621"/>
      <c r="K4" s="621"/>
      <c r="L4" s="449"/>
      <c r="M4" s="449"/>
      <c r="N4" s="449"/>
      <c r="O4" s="449"/>
      <c r="P4" s="449"/>
      <c r="Q4" s="449"/>
      <c r="R4" s="449"/>
      <c r="S4" s="449"/>
      <c r="T4" s="449"/>
    </row>
    <row r="7" spans="2:20" ht="20.25" customHeight="1">
      <c r="B7" s="613" t="s">
        <v>744</v>
      </c>
      <c r="C7" s="613"/>
      <c r="D7" s="613"/>
      <c r="E7" s="613"/>
      <c r="F7" s="613"/>
      <c r="G7" s="613"/>
      <c r="H7" s="613"/>
      <c r="I7" s="613"/>
      <c r="J7" s="613"/>
      <c r="K7" s="613"/>
      <c r="L7" s="613"/>
      <c r="M7" s="613"/>
      <c r="N7" s="613"/>
      <c r="O7" s="613"/>
      <c r="P7" s="613"/>
      <c r="Q7" s="613"/>
      <c r="R7" s="613"/>
      <c r="S7" s="613"/>
      <c r="T7" s="613"/>
    </row>
    <row r="10" spans="2:20" ht="39.75" customHeight="1">
      <c r="B10" s="622" t="s">
        <v>745</v>
      </c>
      <c r="C10" s="622"/>
      <c r="D10" s="622"/>
    </row>
    <row r="11" spans="2:20">
      <c r="B11" s="450" t="s">
        <v>682</v>
      </c>
      <c r="C11" s="450" t="s">
        <v>683</v>
      </c>
      <c r="D11" s="450" t="s">
        <v>684</v>
      </c>
    </row>
    <row r="12" spans="2:20">
      <c r="B12" s="451" t="s">
        <v>58</v>
      </c>
      <c r="C12" s="452">
        <v>28682</v>
      </c>
      <c r="D12" s="483">
        <f>C12/$C$35</f>
        <v>0.15956162554588191</v>
      </c>
    </row>
    <row r="13" spans="2:20">
      <c r="B13" s="453" t="s">
        <v>70</v>
      </c>
      <c r="C13" s="454">
        <v>17163</v>
      </c>
      <c r="D13" s="483">
        <f t="shared" ref="D13:D35" si="0">C13/$C$35</f>
        <v>9.547995883285583E-2</v>
      </c>
    </row>
    <row r="14" spans="2:20">
      <c r="B14" s="453" t="s">
        <v>66</v>
      </c>
      <c r="C14" s="454">
        <v>16139</v>
      </c>
      <c r="D14" s="483">
        <f t="shared" si="0"/>
        <v>8.9783316180356593E-2</v>
      </c>
    </row>
    <row r="15" spans="2:20">
      <c r="B15" s="453" t="s">
        <v>65</v>
      </c>
      <c r="C15" s="454">
        <v>14753</v>
      </c>
      <c r="D15" s="483">
        <f t="shared" si="0"/>
        <v>8.2072821340157434E-2</v>
      </c>
    </row>
    <row r="16" spans="2:20">
      <c r="B16" s="453" t="s">
        <v>62</v>
      </c>
      <c r="C16" s="454">
        <v>14151</v>
      </c>
      <c r="D16" s="483">
        <f t="shared" si="0"/>
        <v>7.8723818530778006E-2</v>
      </c>
    </row>
    <row r="17" spans="2:4">
      <c r="B17" s="453" t="s">
        <v>64</v>
      </c>
      <c r="C17" s="454">
        <v>13562</v>
      </c>
      <c r="D17" s="483">
        <f t="shared" si="0"/>
        <v>7.5447136380072874E-2</v>
      </c>
    </row>
    <row r="18" spans="2:4">
      <c r="B18" s="453" t="s">
        <v>217</v>
      </c>
      <c r="C18" s="454">
        <v>12352</v>
      </c>
      <c r="D18" s="483">
        <f t="shared" si="0"/>
        <v>6.8715751995772026E-2</v>
      </c>
    </row>
    <row r="19" spans="2:4">
      <c r="B19" s="453" t="s">
        <v>57</v>
      </c>
      <c r="C19" s="454">
        <v>11180</v>
      </c>
      <c r="D19" s="483">
        <f t="shared" si="0"/>
        <v>6.219576645990376E-2</v>
      </c>
    </row>
    <row r="20" spans="2:4">
      <c r="B20" s="453" t="s">
        <v>61</v>
      </c>
      <c r="C20" s="454">
        <v>7874</v>
      </c>
      <c r="D20" s="483">
        <f t="shared" si="0"/>
        <v>4.3804066646268534E-2</v>
      </c>
    </row>
    <row r="21" spans="2:4">
      <c r="B21" s="453" t="s">
        <v>60</v>
      </c>
      <c r="C21" s="454">
        <v>7824</v>
      </c>
      <c r="D21" s="483">
        <f t="shared" si="0"/>
        <v>4.3525910266751969E-2</v>
      </c>
    </row>
    <row r="22" spans="2:4">
      <c r="B22" s="453" t="s">
        <v>59</v>
      </c>
      <c r="C22" s="454">
        <v>7685</v>
      </c>
      <c r="D22" s="483">
        <f t="shared" si="0"/>
        <v>4.2752635531695921E-2</v>
      </c>
    </row>
    <row r="23" spans="2:4">
      <c r="B23" s="453" t="s">
        <v>63</v>
      </c>
      <c r="C23" s="454">
        <v>7458</v>
      </c>
      <c r="D23" s="483">
        <f t="shared" si="0"/>
        <v>4.1489805568690717E-2</v>
      </c>
    </row>
    <row r="24" spans="2:4">
      <c r="B24" s="453" t="s">
        <v>71</v>
      </c>
      <c r="C24" s="454">
        <v>6845</v>
      </c>
      <c r="D24" s="483">
        <f t="shared" si="0"/>
        <v>3.807960835581764E-2</v>
      </c>
    </row>
    <row r="25" spans="2:4">
      <c r="B25" s="453" t="s">
        <v>68</v>
      </c>
      <c r="C25" s="454">
        <v>4948</v>
      </c>
      <c r="D25" s="483">
        <f t="shared" si="0"/>
        <v>2.7526355316959194E-2</v>
      </c>
    </row>
    <row r="26" spans="2:4">
      <c r="B26" s="453" t="s">
        <v>67</v>
      </c>
      <c r="C26" s="454">
        <v>3783</v>
      </c>
      <c r="D26" s="483">
        <f t="shared" si="0"/>
        <v>2.1045311674223247E-2</v>
      </c>
    </row>
    <row r="27" spans="2:4">
      <c r="B27" s="453" t="s">
        <v>355</v>
      </c>
      <c r="C27" s="454">
        <v>2406</v>
      </c>
      <c r="D27" s="483">
        <f t="shared" si="0"/>
        <v>1.3384884982337071E-2</v>
      </c>
    </row>
    <row r="28" spans="2:4">
      <c r="B28" s="453" t="s">
        <v>69</v>
      </c>
      <c r="C28" s="454">
        <v>2064</v>
      </c>
      <c r="D28" s="483">
        <f t="shared" si="0"/>
        <v>1.1482295346443771E-2</v>
      </c>
    </row>
    <row r="29" spans="2:4">
      <c r="B29" s="453" t="s">
        <v>46</v>
      </c>
      <c r="C29" s="454">
        <v>686</v>
      </c>
      <c r="D29" s="483">
        <f t="shared" si="0"/>
        <v>3.8163055269672609E-3</v>
      </c>
    </row>
    <row r="30" spans="2:4">
      <c r="B30" s="453" t="s">
        <v>538</v>
      </c>
      <c r="C30" s="454">
        <v>99</v>
      </c>
      <c r="D30" s="483">
        <f t="shared" si="0"/>
        <v>5.5074963144279715E-4</v>
      </c>
    </row>
    <row r="31" spans="2:4">
      <c r="B31" s="453" t="s">
        <v>540</v>
      </c>
      <c r="C31" s="454">
        <v>56</v>
      </c>
      <c r="D31" s="483">
        <f t="shared" si="0"/>
        <v>3.1153514505855191E-4</v>
      </c>
    </row>
    <row r="32" spans="2:4">
      <c r="B32" s="453" t="s">
        <v>537</v>
      </c>
      <c r="C32" s="454">
        <v>19</v>
      </c>
      <c r="D32" s="483">
        <f t="shared" si="0"/>
        <v>1.056994242162944E-4</v>
      </c>
    </row>
    <row r="33" spans="2:19">
      <c r="B33" s="453" t="s">
        <v>534</v>
      </c>
      <c r="C33" s="454">
        <v>14</v>
      </c>
      <c r="D33" s="483">
        <f t="shared" si="0"/>
        <v>7.7883786264637978E-5</v>
      </c>
    </row>
    <row r="34" spans="2:19">
      <c r="B34" s="453" t="s">
        <v>539</v>
      </c>
      <c r="C34" s="454">
        <v>12</v>
      </c>
      <c r="D34" s="483">
        <f t="shared" si="0"/>
        <v>6.6757531083975406E-5</v>
      </c>
    </row>
    <row r="35" spans="2:19">
      <c r="B35" s="455" t="s">
        <v>407</v>
      </c>
      <c r="C35" s="456">
        <f>SUM(C12:C34)</f>
        <v>179755</v>
      </c>
      <c r="D35" s="483">
        <f t="shared" si="0"/>
        <v>1</v>
      </c>
    </row>
    <row r="37" spans="2:19" ht="66.75" customHeight="1">
      <c r="B37" s="611" t="s">
        <v>746</v>
      </c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</row>
    <row r="38" spans="2:19">
      <c r="B38" s="611" t="s">
        <v>528</v>
      </c>
      <c r="C38" s="612"/>
      <c r="D38" s="612"/>
      <c r="E38" s="612"/>
      <c r="F38" s="612"/>
      <c r="G38" s="612"/>
      <c r="H38" s="612"/>
      <c r="I38" s="612"/>
      <c r="J38" s="612"/>
      <c r="K38" s="612"/>
      <c r="L38" s="612"/>
      <c r="M38" s="612"/>
      <c r="N38" s="612"/>
      <c r="O38" s="612"/>
      <c r="P38" s="612"/>
      <c r="Q38" s="612"/>
      <c r="R38" s="612"/>
      <c r="S38" s="612"/>
    </row>
    <row r="40" spans="2:19" ht="20.25">
      <c r="B40" s="613" t="s">
        <v>747</v>
      </c>
      <c r="C40" s="613"/>
      <c r="D40" s="613"/>
      <c r="E40" s="613"/>
      <c r="F40" s="613"/>
      <c r="G40" s="613"/>
      <c r="H40" s="613"/>
      <c r="I40" s="613"/>
      <c r="J40" s="613"/>
      <c r="K40" s="613"/>
      <c r="L40" s="613"/>
      <c r="M40" s="613"/>
      <c r="N40" s="613"/>
      <c r="O40" s="613"/>
      <c r="P40" s="613"/>
      <c r="Q40" s="613"/>
      <c r="R40" s="613"/>
      <c r="S40" s="613"/>
    </row>
    <row r="42" spans="2:19" ht="18.75">
      <c r="B42" s="614" t="s">
        <v>748</v>
      </c>
      <c r="C42" s="614"/>
      <c r="D42" s="614"/>
      <c r="E42" s="614"/>
      <c r="F42" s="614"/>
      <c r="G42" s="614"/>
      <c r="H42" s="614"/>
      <c r="I42" s="614"/>
      <c r="J42" s="614"/>
      <c r="K42" s="614"/>
    </row>
    <row r="43" spans="2:19" ht="15.75" thickBot="1"/>
    <row r="44" spans="2:19" ht="18.75">
      <c r="B44" s="615" t="s">
        <v>0</v>
      </c>
      <c r="C44" s="616"/>
      <c r="D44" s="462">
        <v>2007</v>
      </c>
      <c r="E44" s="462">
        <v>2008</v>
      </c>
      <c r="F44" s="462">
        <v>2009</v>
      </c>
      <c r="G44" s="462">
        <v>2010</v>
      </c>
      <c r="H44" s="462">
        <v>2011</v>
      </c>
      <c r="I44" s="462">
        <v>2012</v>
      </c>
      <c r="J44" s="462">
        <v>2013</v>
      </c>
      <c r="K44" s="462">
        <v>2014</v>
      </c>
      <c r="L44" s="462" t="s">
        <v>689</v>
      </c>
      <c r="M44" s="462" t="s">
        <v>690</v>
      </c>
      <c r="N44" s="462" t="s">
        <v>691</v>
      </c>
    </row>
    <row r="45" spans="2:19" ht="19.5" thickBot="1">
      <c r="B45" s="617" t="s">
        <v>688</v>
      </c>
      <c r="C45" s="618"/>
      <c r="D45" s="457">
        <v>120332</v>
      </c>
      <c r="E45" s="457">
        <v>139403</v>
      </c>
      <c r="F45" s="457">
        <v>121040</v>
      </c>
      <c r="G45" s="457">
        <v>139096</v>
      </c>
      <c r="H45" s="457">
        <v>160449</v>
      </c>
      <c r="I45" s="457">
        <v>201631</v>
      </c>
      <c r="J45" s="457">
        <v>216036</v>
      </c>
      <c r="K45" s="458">
        <v>189363</v>
      </c>
      <c r="L45" s="458">
        <v>197887</v>
      </c>
      <c r="M45" s="458">
        <v>165566</v>
      </c>
      <c r="N45" s="458">
        <f>C35</f>
        <v>179755</v>
      </c>
    </row>
    <row r="47" spans="2:19" ht="64.5" customHeight="1">
      <c r="B47" s="611" t="s">
        <v>749</v>
      </c>
      <c r="C47" s="612"/>
      <c r="D47" s="612"/>
      <c r="E47" s="612"/>
      <c r="F47" s="612"/>
      <c r="G47" s="612"/>
      <c r="H47" s="612"/>
      <c r="I47" s="612"/>
      <c r="J47" s="612"/>
      <c r="K47" s="612"/>
      <c r="L47" s="612"/>
      <c r="M47" s="612"/>
      <c r="N47" s="612"/>
      <c r="O47" s="612"/>
      <c r="P47" s="612"/>
      <c r="Q47" s="612"/>
      <c r="R47" s="612"/>
      <c r="S47" s="612"/>
    </row>
    <row r="48" spans="2:19">
      <c r="B48" s="611" t="s">
        <v>427</v>
      </c>
      <c r="C48" s="612"/>
      <c r="D48" s="612"/>
      <c r="E48" s="612"/>
      <c r="F48" s="612"/>
      <c r="G48" s="612"/>
      <c r="H48" s="612"/>
      <c r="I48" s="612"/>
      <c r="J48" s="612"/>
      <c r="K48" s="612"/>
      <c r="L48" s="612"/>
      <c r="M48" s="612"/>
      <c r="N48" s="612"/>
      <c r="O48" s="612"/>
      <c r="P48" s="612"/>
      <c r="Q48" s="612"/>
      <c r="R48" s="612"/>
      <c r="S48" s="612"/>
    </row>
    <row r="72" spans="2:19" ht="68.25" customHeight="1">
      <c r="B72" s="611" t="s">
        <v>750</v>
      </c>
      <c r="C72" s="612"/>
      <c r="D72" s="612"/>
      <c r="E72" s="612"/>
      <c r="F72" s="612"/>
      <c r="G72" s="612"/>
      <c r="H72" s="612"/>
      <c r="I72" s="612"/>
      <c r="J72" s="612"/>
      <c r="K72" s="612"/>
      <c r="L72" s="612"/>
      <c r="M72" s="612"/>
      <c r="N72" s="612"/>
      <c r="O72" s="612"/>
      <c r="P72" s="612"/>
      <c r="Q72" s="612"/>
      <c r="R72" s="612"/>
      <c r="S72" s="612"/>
    </row>
    <row r="73" spans="2:19">
      <c r="B73" s="611" t="s">
        <v>528</v>
      </c>
      <c r="C73" s="612"/>
      <c r="D73" s="612"/>
      <c r="E73" s="612"/>
      <c r="F73" s="612"/>
      <c r="G73" s="612"/>
      <c r="H73" s="612"/>
      <c r="I73" s="612"/>
      <c r="J73" s="612"/>
      <c r="K73" s="612"/>
      <c r="L73" s="612"/>
      <c r="M73" s="612"/>
      <c r="N73" s="612"/>
      <c r="O73" s="612"/>
      <c r="P73" s="612"/>
      <c r="Q73" s="612"/>
      <c r="R73" s="612"/>
      <c r="S73" s="612"/>
    </row>
  </sheetData>
  <mergeCells count="15">
    <mergeCell ref="C3:K3"/>
    <mergeCell ref="C4:G4"/>
    <mergeCell ref="H4:K4"/>
    <mergeCell ref="B7:T7"/>
    <mergeCell ref="B10:D10"/>
    <mergeCell ref="B47:S47"/>
    <mergeCell ref="B48:S48"/>
    <mergeCell ref="B72:S72"/>
    <mergeCell ref="B73:S73"/>
    <mergeCell ref="B37:S37"/>
    <mergeCell ref="B38:S38"/>
    <mergeCell ref="B40:S40"/>
    <mergeCell ref="B42:K42"/>
    <mergeCell ref="B44:C44"/>
    <mergeCell ref="B45:C4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95"/>
  <sheetViews>
    <sheetView zoomScale="145" zoomScaleNormal="145" workbookViewId="0">
      <selection activeCell="A75" sqref="A75:E80"/>
    </sheetView>
  </sheetViews>
  <sheetFormatPr baseColWidth="10" defaultColWidth="11.5703125" defaultRowHeight="12" customHeight="1"/>
  <cols>
    <col min="1" max="1" width="49" style="112" customWidth="1"/>
    <col min="2" max="2" width="16.28515625" style="111" customWidth="1"/>
    <col min="3" max="3" width="11.42578125" style="111" customWidth="1"/>
    <col min="4" max="4" width="10.85546875" style="111" customWidth="1"/>
    <col min="5" max="5" width="11.5703125" style="111" customWidth="1"/>
    <col min="6" max="16384" width="11.5703125" style="112"/>
  </cols>
  <sheetData>
    <row r="1" spans="1:9" ht="12" customHeight="1">
      <c r="A1" s="110" t="s">
        <v>224</v>
      </c>
    </row>
    <row r="2" spans="1:9" ht="12" customHeight="1">
      <c r="A2" s="113" t="s">
        <v>44</v>
      </c>
    </row>
    <row r="3" spans="1:9" s="116" customFormat="1" ht="12" customHeight="1">
      <c r="A3" s="114"/>
      <c r="B3" s="115"/>
      <c r="C3" s="115"/>
      <c r="D3" s="115"/>
      <c r="E3" s="115"/>
    </row>
    <row r="4" spans="1:9" ht="12" customHeight="1" thickBot="1"/>
    <row r="5" spans="1:9" ht="12" customHeight="1" thickBot="1">
      <c r="B5" s="562" t="str">
        <f xml:space="preserve"> "Acumulado Enero - " &amp;'01 MACRO'!B1</f>
        <v>Acumulado Enero - Mayo</v>
      </c>
      <c r="C5" s="563"/>
      <c r="D5" s="564"/>
    </row>
    <row r="6" spans="1:9" ht="12" customHeight="1">
      <c r="A6" s="117" t="s">
        <v>74</v>
      </c>
      <c r="B6" s="118">
        <v>2016</v>
      </c>
      <c r="C6" s="118">
        <v>2017</v>
      </c>
      <c r="D6" s="119" t="s">
        <v>72</v>
      </c>
      <c r="E6" s="119" t="s">
        <v>38</v>
      </c>
    </row>
    <row r="7" spans="1:9" ht="12" customHeight="1" thickBot="1">
      <c r="A7" s="120"/>
      <c r="B7" s="121"/>
      <c r="C7" s="121"/>
      <c r="D7" s="122"/>
      <c r="E7" s="122"/>
    </row>
    <row r="8" spans="1:9" ht="12" customHeight="1">
      <c r="A8" s="123"/>
      <c r="B8" s="124"/>
      <c r="C8" s="125"/>
      <c r="D8" s="126"/>
      <c r="E8" s="127"/>
    </row>
    <row r="9" spans="1:9" ht="12" customHeight="1" thickBot="1">
      <c r="A9" s="123"/>
      <c r="B9" s="128"/>
      <c r="C9" s="128"/>
      <c r="D9" s="128"/>
      <c r="E9" s="128"/>
    </row>
    <row r="10" spans="1:9" ht="12" customHeight="1" thickBot="1">
      <c r="A10" s="129" t="s">
        <v>50</v>
      </c>
      <c r="B10" s="130">
        <f>SUM(B11:B21)</f>
        <v>914940.42120799993</v>
      </c>
      <c r="C10" s="131">
        <f>SUM(C11:C21)</f>
        <v>965197.46465800039</v>
      </c>
      <c r="D10" s="132">
        <v>1</v>
      </c>
      <c r="E10" s="133">
        <f t="shared" ref="E10:E21" si="0">C10/B10-1</f>
        <v>5.4929307182259857E-2</v>
      </c>
    </row>
    <row r="11" spans="1:9" ht="12" customHeight="1">
      <c r="A11" s="134" t="s">
        <v>33</v>
      </c>
      <c r="B11" s="135">
        <v>215976.77843199999</v>
      </c>
      <c r="C11" s="136">
        <v>205767.71443300002</v>
      </c>
      <c r="D11" s="137">
        <f t="shared" ref="D11:D21" si="1">C11/$C$10</f>
        <v>0.21318716839554686</v>
      </c>
      <c r="E11" s="138">
        <f>C11/B11-1</f>
        <v>-4.726926696989453E-2</v>
      </c>
      <c r="F11" s="315"/>
      <c r="G11" s="295"/>
      <c r="H11" s="180"/>
      <c r="I11" s="274"/>
    </row>
    <row r="12" spans="1:9" ht="12" customHeight="1">
      <c r="A12" s="134" t="s">
        <v>298</v>
      </c>
      <c r="B12" s="135">
        <v>85688.497166999994</v>
      </c>
      <c r="C12" s="136">
        <v>180330.207356</v>
      </c>
      <c r="D12" s="137">
        <f>C12/$C$10</f>
        <v>0.18683245031098028</v>
      </c>
      <c r="E12" s="138">
        <f t="shared" si="0"/>
        <v>1.104485588124517</v>
      </c>
    </row>
    <row r="13" spans="1:9" ht="12" customHeight="1">
      <c r="A13" s="134" t="s">
        <v>39</v>
      </c>
      <c r="B13" s="135">
        <v>193155.63526899999</v>
      </c>
      <c r="C13" s="136">
        <v>173736.52698900001</v>
      </c>
      <c r="D13" s="137">
        <f>C13/$C$10</f>
        <v>0.18000101880764915</v>
      </c>
      <c r="E13" s="138">
        <f t="shared" si="0"/>
        <v>-0.10053606902514534</v>
      </c>
    </row>
    <row r="14" spans="1:9" ht="12" customHeight="1">
      <c r="A14" s="134" t="s">
        <v>40</v>
      </c>
      <c r="B14" s="135">
        <v>130467.63664400001</v>
      </c>
      <c r="C14" s="136">
        <v>121569.969961</v>
      </c>
      <c r="D14" s="137">
        <f t="shared" si="1"/>
        <v>0.1259534700540019</v>
      </c>
      <c r="E14" s="138">
        <f t="shared" si="0"/>
        <v>-6.8198266726319234E-2</v>
      </c>
    </row>
    <row r="15" spans="1:9" ht="12" customHeight="1">
      <c r="A15" s="134" t="s">
        <v>41</v>
      </c>
      <c r="B15" s="135">
        <v>87083.087969999993</v>
      </c>
      <c r="C15" s="136">
        <v>79600.527296</v>
      </c>
      <c r="D15" s="137">
        <f t="shared" si="1"/>
        <v>8.2470717351298628E-2</v>
      </c>
      <c r="E15" s="138">
        <f>C15/B15-1</f>
        <v>-8.5924383808917315E-2</v>
      </c>
    </row>
    <row r="16" spans="1:9" ht="12" customHeight="1">
      <c r="A16" s="134" t="s">
        <v>35</v>
      </c>
      <c r="B16" s="135">
        <v>58045.912100000001</v>
      </c>
      <c r="C16" s="136">
        <v>71288.186300000001</v>
      </c>
      <c r="D16" s="137">
        <f t="shared" si="1"/>
        <v>7.3858654741969954E-2</v>
      </c>
      <c r="E16" s="138">
        <f t="shared" si="0"/>
        <v>0.2281344839096775</v>
      </c>
    </row>
    <row r="17" spans="1:5" ht="12" customHeight="1">
      <c r="A17" s="134" t="s">
        <v>212</v>
      </c>
      <c r="B17" s="135">
        <v>53355.895199999999</v>
      </c>
      <c r="C17" s="136">
        <v>46972.794829999999</v>
      </c>
      <c r="D17" s="137">
        <f t="shared" si="1"/>
        <v>4.8666512863918397E-2</v>
      </c>
      <c r="E17" s="138">
        <f t="shared" si="0"/>
        <v>-0.11963252319305107</v>
      </c>
    </row>
    <row r="18" spans="1:5" ht="12" customHeight="1">
      <c r="A18" s="134" t="s">
        <v>248</v>
      </c>
      <c r="B18" s="135">
        <v>17256.534491999999</v>
      </c>
      <c r="C18" s="136">
        <v>18025.541131000002</v>
      </c>
      <c r="D18" s="137">
        <f t="shared" si="1"/>
        <v>1.8675495731214974E-2</v>
      </c>
      <c r="E18" s="138">
        <f t="shared" si="0"/>
        <v>4.456321397303209E-2</v>
      </c>
    </row>
    <row r="19" spans="1:5" ht="12" customHeight="1">
      <c r="A19" s="134" t="s">
        <v>34</v>
      </c>
      <c r="B19" s="135">
        <v>18931.003199999999</v>
      </c>
      <c r="C19" s="136">
        <v>17942.9568</v>
      </c>
      <c r="D19" s="137">
        <f t="shared" si="1"/>
        <v>1.8589933621880939E-2</v>
      </c>
      <c r="E19" s="138">
        <f t="shared" si="0"/>
        <v>-5.2191972583893409E-2</v>
      </c>
    </row>
    <row r="20" spans="1:5" ht="12" customHeight="1">
      <c r="A20" s="134" t="s">
        <v>42</v>
      </c>
      <c r="B20" s="135">
        <v>12407.157975</v>
      </c>
      <c r="C20" s="136">
        <v>12347.676173</v>
      </c>
      <c r="D20" s="137">
        <f t="shared" si="1"/>
        <v>1.2792901582449936E-2</v>
      </c>
      <c r="E20" s="138">
        <f t="shared" si="0"/>
        <v>-4.7941520628538292E-3</v>
      </c>
    </row>
    <row r="21" spans="1:5" ht="12" customHeight="1" thickBot="1">
      <c r="A21" s="134" t="s">
        <v>43</v>
      </c>
      <c r="B21" s="135">
        <v>42572.282758999994</v>
      </c>
      <c r="C21" s="139">
        <v>37615.363389000027</v>
      </c>
      <c r="D21" s="140">
        <f t="shared" si="1"/>
        <v>3.8971676539088639E-2</v>
      </c>
      <c r="E21" s="138">
        <f t="shared" si="0"/>
        <v>-0.11643536706877788</v>
      </c>
    </row>
    <row r="22" spans="1:5" ht="12" customHeight="1" thickBot="1"/>
    <row r="23" spans="1:5" ht="12" customHeight="1" thickBot="1">
      <c r="A23" s="129" t="s">
        <v>302</v>
      </c>
      <c r="B23" s="554">
        <f>SUM(B24:B34)</f>
        <v>64472742.607981175</v>
      </c>
      <c r="C23" s="131">
        <f>SUM(C24:C34)</f>
        <v>59856168.036145717</v>
      </c>
      <c r="D23" s="132">
        <v>1</v>
      </c>
      <c r="E23" s="133">
        <f>C23/B23-1</f>
        <v>-7.1605059519586289E-2</v>
      </c>
    </row>
    <row r="24" spans="1:5" ht="12" customHeight="1">
      <c r="A24" s="134" t="s">
        <v>37</v>
      </c>
      <c r="B24" s="135">
        <v>9120596.9793000016</v>
      </c>
      <c r="C24" s="136">
        <v>6790808.7348000007</v>
      </c>
      <c r="D24" s="137">
        <f>C24/$C$23</f>
        <v>0.11345211291673721</v>
      </c>
      <c r="E24" s="138">
        <f>C24/B24-1</f>
        <v>-0.25544251651373928</v>
      </c>
    </row>
    <row r="25" spans="1:5" ht="12" customHeight="1">
      <c r="A25" s="134" t="s">
        <v>45</v>
      </c>
      <c r="B25" s="135">
        <v>7181793.44723</v>
      </c>
      <c r="C25" s="136">
        <v>6497371.8636600003</v>
      </c>
      <c r="D25" s="137">
        <f>C25/$C$23</f>
        <v>0.10854974644779118</v>
      </c>
      <c r="E25" s="138">
        <f>C25/B25-1</f>
        <v>-9.5299536055855172E-2</v>
      </c>
    </row>
    <row r="26" spans="1:5" ht="12" customHeight="1">
      <c r="A26" s="134" t="s">
        <v>330</v>
      </c>
      <c r="B26" s="135">
        <v>2858371.4360020016</v>
      </c>
      <c r="C26" s="136">
        <v>3104073.3106510001</v>
      </c>
      <c r="D26" s="137">
        <f t="shared" ref="D26:D34" si="2">C26/$C$23</f>
        <v>5.1858871232393695E-2</v>
      </c>
      <c r="E26" s="138">
        <f t="shared" ref="E26:E34" si="3">C26/B26-1</f>
        <v>8.5958693665320496E-2</v>
      </c>
    </row>
    <row r="27" spans="1:5" ht="12" customHeight="1">
      <c r="A27" s="134" t="s">
        <v>47</v>
      </c>
      <c r="B27" s="135">
        <v>3046440.3733549998</v>
      </c>
      <c r="C27" s="136">
        <v>3102888.8525100001</v>
      </c>
      <c r="D27" s="137">
        <f t="shared" si="2"/>
        <v>5.1839082826622633E-2</v>
      </c>
      <c r="E27" s="138">
        <f t="shared" si="3"/>
        <v>1.8529323484783866E-2</v>
      </c>
    </row>
    <row r="28" spans="1:5" ht="12" customHeight="1">
      <c r="A28" s="134" t="s">
        <v>49</v>
      </c>
      <c r="B28" s="135">
        <v>2449941.6060000001</v>
      </c>
      <c r="C28" s="136">
        <v>2578807.611</v>
      </c>
      <c r="D28" s="137">
        <f t="shared" si="2"/>
        <v>4.3083406365785386E-2</v>
      </c>
      <c r="E28" s="138">
        <f t="shared" si="3"/>
        <v>5.2599623062199674E-2</v>
      </c>
    </row>
    <row r="29" spans="1:5" ht="12" customHeight="1">
      <c r="A29" s="134" t="s">
        <v>48</v>
      </c>
      <c r="B29" s="135">
        <v>2535039.3658870002</v>
      </c>
      <c r="C29" s="136">
        <v>2472543.4821120002</v>
      </c>
      <c r="D29" s="137">
        <f t="shared" si="2"/>
        <v>4.1308081743871239E-2</v>
      </c>
      <c r="E29" s="138">
        <f t="shared" si="3"/>
        <v>-2.4652825757257246E-2</v>
      </c>
    </row>
    <row r="30" spans="1:5" ht="12" customHeight="1">
      <c r="A30" s="134" t="s">
        <v>36</v>
      </c>
      <c r="B30" s="135">
        <v>2439438.4149000002</v>
      </c>
      <c r="C30" s="136">
        <v>2446185.9566499996</v>
      </c>
      <c r="D30" s="137">
        <f t="shared" si="2"/>
        <v>4.0867734051615298E-2</v>
      </c>
      <c r="E30" s="138">
        <f t="shared" si="3"/>
        <v>2.7660225848644693E-3</v>
      </c>
    </row>
    <row r="31" spans="1:5" ht="12" customHeight="1">
      <c r="A31" s="134" t="s">
        <v>249</v>
      </c>
      <c r="B31" s="135">
        <v>2375768.4447460002</v>
      </c>
      <c r="C31" s="136">
        <v>2382653.498836</v>
      </c>
      <c r="D31" s="137">
        <f t="shared" si="2"/>
        <v>3.9806315322377002E-2</v>
      </c>
      <c r="E31" s="138">
        <f t="shared" si="3"/>
        <v>2.8980324682845726E-3</v>
      </c>
    </row>
    <row r="32" spans="1:5" ht="12" customHeight="1">
      <c r="A32" s="134" t="s">
        <v>42</v>
      </c>
      <c r="B32" s="135">
        <v>1844063.9811</v>
      </c>
      <c r="C32" s="136">
        <v>1855467.4166000001</v>
      </c>
      <c r="D32" s="137">
        <f t="shared" si="2"/>
        <v>3.0998767169317078E-2</v>
      </c>
      <c r="E32" s="138">
        <f t="shared" si="3"/>
        <v>6.183861089894549E-3</v>
      </c>
    </row>
    <row r="33" spans="1:5" ht="12" customHeight="1">
      <c r="A33" s="134" t="s">
        <v>393</v>
      </c>
      <c r="B33" s="135">
        <v>1782409.35687</v>
      </c>
      <c r="C33" s="136">
        <v>1660023.443398</v>
      </c>
      <c r="D33" s="137">
        <f t="shared" si="2"/>
        <v>2.773354021586466E-2</v>
      </c>
      <c r="E33" s="138">
        <f t="shared" si="3"/>
        <v>-6.8663190641523486E-2</v>
      </c>
    </row>
    <row r="34" spans="1:5" ht="12" customHeight="1" thickBot="1">
      <c r="A34" s="134" t="s">
        <v>43</v>
      </c>
      <c r="B34" s="135">
        <v>28838879.202591166</v>
      </c>
      <c r="C34" s="139">
        <v>26965343.86592871</v>
      </c>
      <c r="D34" s="140">
        <f t="shared" si="2"/>
        <v>0.45050234170762449</v>
      </c>
      <c r="E34" s="138">
        <f t="shared" si="3"/>
        <v>-6.4965608528022134E-2</v>
      </c>
    </row>
    <row r="35" spans="1:5" ht="12" customHeight="1" thickBot="1">
      <c r="A35" s="555"/>
      <c r="B35" s="142"/>
      <c r="C35" s="267"/>
    </row>
    <row r="36" spans="1:5" ht="12" customHeight="1" thickBot="1">
      <c r="A36" s="129" t="s">
        <v>54</v>
      </c>
      <c r="B36" s="554">
        <f>SUM(B37:B47)</f>
        <v>129781.744294</v>
      </c>
      <c r="C36" s="131">
        <f>SUM(C37:C47)</f>
        <v>123959.25270800001</v>
      </c>
      <c r="D36" s="132">
        <v>1</v>
      </c>
      <c r="E36" s="133">
        <f t="shared" ref="E36:E47" si="4">C36/B36-1</f>
        <v>-4.4863718065077496E-2</v>
      </c>
    </row>
    <row r="37" spans="1:5" ht="12" customHeight="1">
      <c r="A37" s="134" t="s">
        <v>356</v>
      </c>
      <c r="B37" s="135">
        <v>12610.751223000001</v>
      </c>
      <c r="C37" s="136">
        <v>11177.411064</v>
      </c>
      <c r="D37" s="137">
        <f t="shared" ref="D37:D47" si="5">C37/$C$36</f>
        <v>9.0170042331004133E-2</v>
      </c>
      <c r="E37" s="138">
        <f t="shared" si="4"/>
        <v>-0.11366017247139226</v>
      </c>
    </row>
    <row r="38" spans="1:5" ht="12" customHeight="1">
      <c r="A38" s="134" t="s">
        <v>34</v>
      </c>
      <c r="B38" s="135">
        <v>5592.8306000000002</v>
      </c>
      <c r="C38" s="136">
        <v>10977.537</v>
      </c>
      <c r="D38" s="137">
        <f t="shared" si="5"/>
        <v>8.8557624866122953E-2</v>
      </c>
      <c r="E38" s="138">
        <f t="shared" si="4"/>
        <v>0.96278732275567225</v>
      </c>
    </row>
    <row r="39" spans="1:5" ht="12" customHeight="1">
      <c r="A39" s="134" t="s">
        <v>84</v>
      </c>
      <c r="B39" s="135">
        <v>9580.64048</v>
      </c>
      <c r="C39" s="136">
        <v>9703.1000299999996</v>
      </c>
      <c r="D39" s="137">
        <f t="shared" si="5"/>
        <v>7.8276528924038816E-2</v>
      </c>
      <c r="E39" s="138">
        <f t="shared" si="4"/>
        <v>1.2781979477847871E-2</v>
      </c>
    </row>
    <row r="40" spans="1:5" ht="12" customHeight="1">
      <c r="A40" s="134" t="s">
        <v>249</v>
      </c>
      <c r="B40" s="135">
        <v>9118.3784990000004</v>
      </c>
      <c r="C40" s="136">
        <v>9534.8297610000027</v>
      </c>
      <c r="D40" s="137">
        <f t="shared" si="5"/>
        <v>7.6919064553094468E-2</v>
      </c>
      <c r="E40" s="138">
        <f t="shared" si="4"/>
        <v>4.5671635811748157E-2</v>
      </c>
    </row>
    <row r="41" spans="1:5" ht="12" customHeight="1">
      <c r="A41" s="134" t="s">
        <v>51</v>
      </c>
      <c r="B41" s="135">
        <v>12686.440698</v>
      </c>
      <c r="C41" s="136">
        <v>7755.9354069999999</v>
      </c>
      <c r="D41" s="137">
        <f t="shared" si="5"/>
        <v>6.2568426620560377E-2</v>
      </c>
      <c r="E41" s="138">
        <f t="shared" si="4"/>
        <v>-0.38864370301886864</v>
      </c>
    </row>
    <row r="42" spans="1:5" ht="12" customHeight="1">
      <c r="A42" s="134" t="s">
        <v>39</v>
      </c>
      <c r="B42" s="135">
        <v>4868.5656490000001</v>
      </c>
      <c r="C42" s="136">
        <v>7269.8804380000001</v>
      </c>
      <c r="D42" s="137">
        <f t="shared" si="5"/>
        <v>5.8647339986189033E-2</v>
      </c>
      <c r="E42" s="138">
        <f t="shared" si="4"/>
        <v>0.49322838842549621</v>
      </c>
    </row>
    <row r="43" spans="1:5" ht="12" customHeight="1">
      <c r="A43" s="134" t="s">
        <v>52</v>
      </c>
      <c r="B43" s="135">
        <v>6293.6629480000001</v>
      </c>
      <c r="C43" s="136">
        <v>6980.8672159999996</v>
      </c>
      <c r="D43" s="137">
        <f t="shared" si="5"/>
        <v>5.6315822042298194E-2</v>
      </c>
      <c r="E43" s="138">
        <f t="shared" si="4"/>
        <v>0.10918987458938822</v>
      </c>
    </row>
    <row r="44" spans="1:5" ht="12" customHeight="1">
      <c r="A44" s="134" t="s">
        <v>248</v>
      </c>
      <c r="B44" s="135">
        <v>7535.6443769999996</v>
      </c>
      <c r="C44" s="136">
        <v>6540.7540989999998</v>
      </c>
      <c r="D44" s="137">
        <f t="shared" si="5"/>
        <v>5.2765356002972066E-2</v>
      </c>
      <c r="E44" s="138">
        <f t="shared" si="4"/>
        <v>-0.13202457921668453</v>
      </c>
    </row>
    <row r="45" spans="1:5" ht="12" customHeight="1">
      <c r="A45" s="134" t="s">
        <v>756</v>
      </c>
      <c r="B45" s="135">
        <v>7936.4241469999997</v>
      </c>
      <c r="C45" s="136">
        <v>6342.4086870000001</v>
      </c>
      <c r="D45" s="137">
        <f t="shared" si="5"/>
        <v>5.1165270429148667E-2</v>
      </c>
      <c r="E45" s="138">
        <f t="shared" si="4"/>
        <v>-0.20084806840906355</v>
      </c>
    </row>
    <row r="46" spans="1:5" ht="12" customHeight="1">
      <c r="A46" s="134" t="s">
        <v>299</v>
      </c>
      <c r="B46" s="135">
        <v>7553.1641149999996</v>
      </c>
      <c r="C46" s="136">
        <v>5895.7452199999998</v>
      </c>
      <c r="D46" s="137">
        <f t="shared" si="5"/>
        <v>4.7561961622083121E-2</v>
      </c>
      <c r="E46" s="138">
        <f t="shared" si="4"/>
        <v>-0.21943371940091894</v>
      </c>
    </row>
    <row r="47" spans="1:5" ht="12" customHeight="1">
      <c r="A47" s="134" t="s">
        <v>43</v>
      </c>
      <c r="B47" s="135">
        <v>46005.241558000002</v>
      </c>
      <c r="C47" s="136">
        <v>41780.783786000015</v>
      </c>
      <c r="D47" s="137">
        <f t="shared" si="5"/>
        <v>0.33705256262248817</v>
      </c>
      <c r="E47" s="138">
        <f t="shared" si="4"/>
        <v>-9.1825575280897187E-2</v>
      </c>
    </row>
    <row r="48" spans="1:5" ht="12" customHeight="1" thickBot="1"/>
    <row r="49" spans="1:5" ht="12" customHeight="1" thickBot="1">
      <c r="A49" s="129" t="s">
        <v>303</v>
      </c>
      <c r="B49" s="130">
        <f>SUM(B50:B60)</f>
        <v>1803277.0948220007</v>
      </c>
      <c r="C49" s="131">
        <f>SUM(C50:C60)</f>
        <v>1749183.3917211895</v>
      </c>
      <c r="D49" s="132">
        <v>1</v>
      </c>
      <c r="E49" s="133">
        <f t="shared" ref="E49:E60" si="6">C49/B49-1</f>
        <v>-2.9997443685242819E-2</v>
      </c>
    </row>
    <row r="50" spans="1:5" ht="12" customHeight="1">
      <c r="A50" s="134" t="s">
        <v>249</v>
      </c>
      <c r="B50" s="135">
        <v>294996.84980800003</v>
      </c>
      <c r="C50" s="136">
        <v>320943.52736100007</v>
      </c>
      <c r="D50" s="137">
        <f t="shared" ref="D50:D60" si="7">C50/$C$49</f>
        <v>0.18348192012341993</v>
      </c>
      <c r="E50" s="138">
        <f t="shared" si="6"/>
        <v>8.7955778408778107E-2</v>
      </c>
    </row>
    <row r="51" spans="1:5" ht="12" customHeight="1">
      <c r="A51" s="134" t="s">
        <v>39</v>
      </c>
      <c r="B51" s="135">
        <v>286660.41571500001</v>
      </c>
      <c r="C51" s="136">
        <v>261024.36851100001</v>
      </c>
      <c r="D51" s="137">
        <f t="shared" si="7"/>
        <v>0.14922641602156597</v>
      </c>
      <c r="E51" s="138">
        <f t="shared" si="6"/>
        <v>-8.9430021721197628E-2</v>
      </c>
    </row>
    <row r="52" spans="1:5" ht="12" customHeight="1">
      <c r="A52" s="134" t="s">
        <v>36</v>
      </c>
      <c r="B52" s="135">
        <v>173058.70995700001</v>
      </c>
      <c r="C52" s="136">
        <v>183250.25131200001</v>
      </c>
      <c r="D52" s="137">
        <f t="shared" si="7"/>
        <v>0.10476331537294239</v>
      </c>
      <c r="E52" s="138">
        <f t="shared" si="6"/>
        <v>5.8890658306260946E-2</v>
      </c>
    </row>
    <row r="53" spans="1:5" ht="12" customHeight="1">
      <c r="A53" s="134" t="s">
        <v>51</v>
      </c>
      <c r="B53" s="135">
        <v>171082.630855</v>
      </c>
      <c r="C53" s="136">
        <v>87445.037599000003</v>
      </c>
      <c r="D53" s="137">
        <f t="shared" si="7"/>
        <v>4.9991920808803492E-2</v>
      </c>
      <c r="E53" s="138">
        <f t="shared" si="6"/>
        <v>-0.48887249885049122</v>
      </c>
    </row>
    <row r="54" spans="1:5" ht="12" customHeight="1">
      <c r="A54" s="134" t="s">
        <v>356</v>
      </c>
      <c r="B54" s="135">
        <v>79740.263422000004</v>
      </c>
      <c r="C54" s="136">
        <v>70072.785309999992</v>
      </c>
      <c r="D54" s="137">
        <f>C54/$C$49</f>
        <v>4.0060285068822116E-2</v>
      </c>
      <c r="E54" s="138">
        <f>C54/B54-1</f>
        <v>-0.12123709776123959</v>
      </c>
    </row>
    <row r="55" spans="1:5" ht="12" customHeight="1">
      <c r="A55" s="134" t="s">
        <v>35</v>
      </c>
      <c r="B55" s="135">
        <v>54962.033380000001</v>
      </c>
      <c r="C55" s="136">
        <v>58163.186156000003</v>
      </c>
      <c r="D55" s="137">
        <f t="shared" si="7"/>
        <v>3.3251622689355435E-2</v>
      </c>
      <c r="E55" s="138">
        <f t="shared" si="6"/>
        <v>5.8242983003697679E-2</v>
      </c>
    </row>
    <row r="56" spans="1:5" ht="12" customHeight="1">
      <c r="A56" s="134" t="s">
        <v>395</v>
      </c>
      <c r="B56" s="135">
        <v>45425.102566000001</v>
      </c>
      <c r="C56" s="136">
        <v>57510.165671000002</v>
      </c>
      <c r="D56" s="137">
        <f t="shared" si="7"/>
        <v>3.2878293918861323E-2</v>
      </c>
      <c r="E56" s="138">
        <f t="shared" si="6"/>
        <v>0.26604371641079094</v>
      </c>
    </row>
    <row r="57" spans="1:5" ht="12" customHeight="1">
      <c r="A57" s="134" t="s">
        <v>34</v>
      </c>
      <c r="B57" s="135">
        <v>23631.208795999999</v>
      </c>
      <c r="C57" s="136">
        <v>51180.991727999994</v>
      </c>
      <c r="D57" s="137">
        <f t="shared" si="7"/>
        <v>2.925993464735456E-2</v>
      </c>
      <c r="E57" s="138">
        <f t="shared" si="6"/>
        <v>1.1658219928496965</v>
      </c>
    </row>
    <row r="58" spans="1:5" ht="12" customHeight="1">
      <c r="A58" s="134" t="s">
        <v>771</v>
      </c>
      <c r="B58" s="135">
        <v>53823.403772999998</v>
      </c>
      <c r="C58" s="136">
        <v>50396.408862999997</v>
      </c>
      <c r="D58" s="137">
        <f t="shared" si="7"/>
        <v>2.8811392276832753E-2</v>
      </c>
      <c r="E58" s="138">
        <f t="shared" si="6"/>
        <v>-6.3671092308716482E-2</v>
      </c>
    </row>
    <row r="59" spans="1:5" ht="12" customHeight="1">
      <c r="A59" s="134" t="s">
        <v>40</v>
      </c>
      <c r="B59" s="135">
        <v>47989.843368000002</v>
      </c>
      <c r="C59" s="136">
        <v>49944.250963999999</v>
      </c>
      <c r="D59" s="137">
        <f t="shared" si="7"/>
        <v>2.855289571144113E-2</v>
      </c>
      <c r="E59" s="138">
        <f t="shared" si="6"/>
        <v>4.0725442277713464E-2</v>
      </c>
    </row>
    <row r="60" spans="1:5" ht="12" customHeight="1">
      <c r="A60" s="134" t="s">
        <v>43</v>
      </c>
      <c r="B60" s="135">
        <v>571906.63318200025</v>
      </c>
      <c r="C60" s="136">
        <v>559252.41824618925</v>
      </c>
      <c r="D60" s="137">
        <f t="shared" si="7"/>
        <v>0.3197220033606008</v>
      </c>
      <c r="E60" s="138">
        <f t="shared" si="6"/>
        <v>-2.2126365042148377E-2</v>
      </c>
    </row>
    <row r="61" spans="1:5" ht="12" customHeight="1" thickBot="1"/>
    <row r="62" spans="1:5" ht="12" customHeight="1" thickBot="1">
      <c r="A62" s="129" t="s">
        <v>55</v>
      </c>
      <c r="B62" s="130">
        <f>SUM(B63:B73)</f>
        <v>517712.04747899994</v>
      </c>
      <c r="C62" s="131">
        <f>SUM(C63:C73)</f>
        <v>581994.97489399998</v>
      </c>
      <c r="D62" s="132">
        <v>1</v>
      </c>
      <c r="E62" s="133">
        <f t="shared" ref="E62:E73" si="8">C62/B62-1</f>
        <v>0.12416733921496692</v>
      </c>
    </row>
    <row r="63" spans="1:5" ht="12" customHeight="1">
      <c r="A63" s="134" t="s">
        <v>39</v>
      </c>
      <c r="B63" s="135">
        <v>73461.730112000005</v>
      </c>
      <c r="C63" s="145">
        <v>164187.59787</v>
      </c>
      <c r="D63" s="146">
        <f t="shared" ref="D63:D73" si="9">C63/$C$62</f>
        <v>0.28211171050042805</v>
      </c>
      <c r="E63" s="138">
        <f t="shared" si="8"/>
        <v>1.2350085904549077</v>
      </c>
    </row>
    <row r="64" spans="1:5" ht="12" customHeight="1">
      <c r="A64" s="134" t="s">
        <v>248</v>
      </c>
      <c r="B64" s="135">
        <v>77179.052349999998</v>
      </c>
      <c r="C64" s="136">
        <v>67647.169297999993</v>
      </c>
      <c r="D64" s="137">
        <f t="shared" si="9"/>
        <v>0.11623325323439557</v>
      </c>
      <c r="E64" s="138">
        <f t="shared" si="8"/>
        <v>-0.12350349948291384</v>
      </c>
    </row>
    <row r="65" spans="1:7" ht="12" customHeight="1">
      <c r="A65" s="134" t="s">
        <v>51</v>
      </c>
      <c r="B65" s="135">
        <v>76988.215771999996</v>
      </c>
      <c r="C65" s="136">
        <v>60043.989042000001</v>
      </c>
      <c r="D65" s="137">
        <f t="shared" si="9"/>
        <v>0.10316925683582739</v>
      </c>
      <c r="E65" s="138">
        <f t="shared" si="8"/>
        <v>-0.22008857537600546</v>
      </c>
      <c r="G65" s="180"/>
    </row>
    <row r="66" spans="1:7" ht="12" customHeight="1">
      <c r="A66" s="134" t="s">
        <v>356</v>
      </c>
      <c r="B66" s="135">
        <v>44734.515786999997</v>
      </c>
      <c r="C66" s="136">
        <v>42617.836404000001</v>
      </c>
      <c r="D66" s="137">
        <f t="shared" si="9"/>
        <v>7.3227155289033341E-2</v>
      </c>
      <c r="E66" s="138">
        <f t="shared" si="8"/>
        <v>-4.7316470196713478E-2</v>
      </c>
    </row>
    <row r="67" spans="1:7" ht="12" customHeight="1">
      <c r="A67" s="134" t="s">
        <v>34</v>
      </c>
      <c r="B67" s="135">
        <v>18374.9512</v>
      </c>
      <c r="C67" s="136">
        <v>26843.459500000001</v>
      </c>
      <c r="D67" s="137">
        <f t="shared" si="9"/>
        <v>4.6123180882943295E-2</v>
      </c>
      <c r="E67" s="138">
        <f t="shared" si="8"/>
        <v>0.46087242397683226</v>
      </c>
    </row>
    <row r="68" spans="1:7" ht="12" customHeight="1">
      <c r="A68" s="134" t="s">
        <v>84</v>
      </c>
      <c r="B68" s="135">
        <v>15900.041010000001</v>
      </c>
      <c r="C68" s="136">
        <v>22542.302889999999</v>
      </c>
      <c r="D68" s="137">
        <f t="shared" si="9"/>
        <v>3.8732813619405698E-2</v>
      </c>
      <c r="E68" s="138">
        <f t="shared" si="8"/>
        <v>0.41775124201393488</v>
      </c>
    </row>
    <row r="69" spans="1:7" ht="12" customHeight="1">
      <c r="A69" s="134" t="s">
        <v>53</v>
      </c>
      <c r="B69" s="135">
        <v>21352.553081999999</v>
      </c>
      <c r="C69" s="136">
        <v>19377.743847999998</v>
      </c>
      <c r="D69" s="137">
        <f t="shared" si="9"/>
        <v>3.3295380001398311E-2</v>
      </c>
      <c r="E69" s="138">
        <f t="shared" si="8"/>
        <v>-9.2485859953896798E-2</v>
      </c>
    </row>
    <row r="70" spans="1:7" ht="12" customHeight="1">
      <c r="A70" s="134" t="s">
        <v>756</v>
      </c>
      <c r="B70" s="135">
        <v>27348.727745</v>
      </c>
      <c r="C70" s="136">
        <v>18964.522886999999</v>
      </c>
      <c r="D70" s="137">
        <f t="shared" si="9"/>
        <v>3.2585372219844422E-2</v>
      </c>
      <c r="E70" s="138">
        <f t="shared" si="8"/>
        <v>-0.30656654072447054</v>
      </c>
    </row>
    <row r="71" spans="1:7" ht="12" customHeight="1">
      <c r="A71" s="134" t="s">
        <v>395</v>
      </c>
      <c r="B71" s="135">
        <v>16697.380836</v>
      </c>
      <c r="C71" s="136">
        <v>15848.534584000001</v>
      </c>
      <c r="D71" s="137">
        <f t="shared" si="9"/>
        <v>2.7231394200416471E-2</v>
      </c>
      <c r="E71" s="138">
        <f t="shared" si="8"/>
        <v>-5.0837089980595329E-2</v>
      </c>
    </row>
    <row r="72" spans="1:7" ht="12" customHeight="1">
      <c r="A72" s="134" t="s">
        <v>390</v>
      </c>
      <c r="B72" s="135">
        <v>13699.600741</v>
      </c>
      <c r="C72" s="136">
        <v>15278.169099000001</v>
      </c>
      <c r="D72" s="137">
        <f t="shared" si="9"/>
        <v>2.625137631434472E-2</v>
      </c>
      <c r="E72" s="138">
        <f t="shared" si="8"/>
        <v>0.11522732580634121</v>
      </c>
    </row>
    <row r="73" spans="1:7" ht="12" customHeight="1">
      <c r="A73" s="134" t="s">
        <v>43</v>
      </c>
      <c r="B73" s="135">
        <v>131975.27884399999</v>
      </c>
      <c r="C73" s="136">
        <v>128643.64947199995</v>
      </c>
      <c r="D73" s="137">
        <f t="shared" si="9"/>
        <v>0.22103910690196268</v>
      </c>
      <c r="E73" s="138">
        <f t="shared" si="8"/>
        <v>-2.5244344252821405E-2</v>
      </c>
    </row>
    <row r="74" spans="1:7" ht="12" customHeight="1" thickBot="1"/>
    <row r="75" spans="1:7" ht="12" customHeight="1" thickBot="1">
      <c r="A75" s="129" t="s">
        <v>363</v>
      </c>
      <c r="B75" s="130">
        <f>SUM(B76:B80)</f>
        <v>10340.284198000001</v>
      </c>
      <c r="C75" s="131">
        <f>SUM(C76:C80)</f>
        <v>9722.592224</v>
      </c>
      <c r="D75" s="132">
        <v>1</v>
      </c>
      <c r="E75" s="133">
        <f t="shared" ref="E75:E79" si="10">C75/B75-1</f>
        <v>-5.9736460059721996E-2</v>
      </c>
    </row>
    <row r="76" spans="1:7" ht="12" customHeight="1">
      <c r="A76" s="134" t="s">
        <v>33</v>
      </c>
      <c r="B76" s="135">
        <v>3452.5166319999998</v>
      </c>
      <c r="C76" s="145">
        <v>4691.9950699999999</v>
      </c>
      <c r="D76" s="146">
        <f>C76/$C$75</f>
        <v>0.48258684123539769</v>
      </c>
      <c r="E76" s="138">
        <f t="shared" si="10"/>
        <v>0.35900723156892833</v>
      </c>
    </row>
    <row r="77" spans="1:7" ht="12" customHeight="1">
      <c r="A77" s="134" t="s">
        <v>40</v>
      </c>
      <c r="B77" s="135">
        <v>4479.9092340000007</v>
      </c>
      <c r="C77" s="136">
        <v>3544.5456989999998</v>
      </c>
      <c r="D77" s="137">
        <f t="shared" ref="D77:D80" si="11">C77/$C$75</f>
        <v>0.36456796884377896</v>
      </c>
      <c r="E77" s="138">
        <f t="shared" si="10"/>
        <v>-0.20879073350440136</v>
      </c>
    </row>
    <row r="78" spans="1:7" ht="12" customHeight="1">
      <c r="A78" s="134" t="s">
        <v>35</v>
      </c>
      <c r="B78" s="135">
        <v>427.23167999999998</v>
      </c>
      <c r="C78" s="136">
        <v>769.66137000000003</v>
      </c>
      <c r="D78" s="137">
        <f t="shared" si="11"/>
        <v>7.9162156785729243E-2</v>
      </c>
      <c r="E78" s="138">
        <f t="shared" si="10"/>
        <v>0.80150818871858953</v>
      </c>
      <c r="G78" s="180"/>
    </row>
    <row r="79" spans="1:7" ht="12" customHeight="1">
      <c r="A79" s="134" t="s">
        <v>39</v>
      </c>
      <c r="B79" s="135">
        <v>1980.6266519999999</v>
      </c>
      <c r="C79" s="136">
        <v>508.964787</v>
      </c>
      <c r="D79" s="137">
        <f t="shared" si="11"/>
        <v>5.2348671555270197E-2</v>
      </c>
      <c r="E79" s="138">
        <f t="shared" si="10"/>
        <v>-0.74302840644598178</v>
      </c>
    </row>
    <row r="80" spans="1:7" ht="12" customHeight="1">
      <c r="A80" s="134" t="s">
        <v>212</v>
      </c>
      <c r="B80" s="135">
        <v>0</v>
      </c>
      <c r="C80" s="136">
        <v>207.425298</v>
      </c>
      <c r="D80" s="137">
        <f t="shared" si="11"/>
        <v>2.1334361579823879E-2</v>
      </c>
      <c r="E80" s="138" t="s">
        <v>159</v>
      </c>
    </row>
    <row r="87" spans="1:5" ht="12" customHeight="1" thickBot="1"/>
    <row r="88" spans="1:5" ht="12" customHeight="1" thickBot="1">
      <c r="A88" s="129" t="s">
        <v>350</v>
      </c>
      <c r="B88" s="130">
        <f>SUM(B89)</f>
        <v>3461788.6798</v>
      </c>
      <c r="C88" s="130">
        <f>SUM(C89)</f>
        <v>3776993.2799999998</v>
      </c>
      <c r="D88" s="268">
        <v>1</v>
      </c>
      <c r="E88" s="133">
        <f t="shared" ref="E88:E89" si="12">C88/B88-1</f>
        <v>9.105252496758709E-2</v>
      </c>
    </row>
    <row r="89" spans="1:5" ht="12" customHeight="1">
      <c r="A89" s="134" t="s">
        <v>352</v>
      </c>
      <c r="B89" s="135">
        <f>'02.1 PRODUCCION'!G37</f>
        <v>3461788.6798</v>
      </c>
      <c r="C89" s="145">
        <f>'02.1 PRODUCCION'!G36</f>
        <v>3776993.2799999998</v>
      </c>
      <c r="D89" s="269">
        <v>1</v>
      </c>
      <c r="E89" s="138">
        <f t="shared" si="12"/>
        <v>9.105252496758709E-2</v>
      </c>
    </row>
    <row r="90" spans="1:5" ht="12" customHeight="1" thickBot="1">
      <c r="D90" s="270"/>
    </row>
    <row r="91" spans="1:5" ht="12" customHeight="1" thickBot="1">
      <c r="A91" s="129" t="s">
        <v>351</v>
      </c>
      <c r="B91" s="130">
        <f>SUM(B92:B103)</f>
        <v>7292.6228219999994</v>
      </c>
      <c r="C91" s="130">
        <f>SUM(C92:C103)</f>
        <v>7109.9116459999996</v>
      </c>
      <c r="D91" s="268">
        <v>1</v>
      </c>
      <c r="E91" s="133">
        <f t="shared" ref="E91:E92" si="13">C91/B91-1</f>
        <v>-2.5054247348266334E-2</v>
      </c>
    </row>
    <row r="92" spans="1:5" ht="12" customHeight="1">
      <c r="A92" s="271" t="s">
        <v>353</v>
      </c>
      <c r="B92" s="135">
        <f>'02.1 PRODUCCION'!H37</f>
        <v>7292.6228219999994</v>
      </c>
      <c r="C92" s="145">
        <f>'02.1 PRODUCCION'!H36</f>
        <v>7109.9116459999996</v>
      </c>
      <c r="D92" s="269">
        <v>1</v>
      </c>
      <c r="E92" s="138">
        <f t="shared" si="13"/>
        <v>-2.5054247348266334E-2</v>
      </c>
    </row>
    <row r="95" spans="1:5" ht="12" customHeight="1">
      <c r="A95" s="147" t="s">
        <v>7</v>
      </c>
      <c r="B95" s="148"/>
      <c r="C95" s="148"/>
      <c r="D95" s="148"/>
      <c r="E95" s="148"/>
    </row>
  </sheetData>
  <mergeCells count="1">
    <mergeCell ref="B5:D5"/>
  </mergeCells>
  <conditionalFormatting sqref="E10:E92">
    <cfRule type="cellIs" dxfId="15" priority="1" operator="greaterThan">
      <formula>1</formula>
    </cfRule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0"/>
    <pageSetUpPr fitToPage="1"/>
  </sheetPr>
  <dimension ref="A1:G114"/>
  <sheetViews>
    <sheetView zoomScale="145" zoomScaleNormal="145" workbookViewId="0"/>
  </sheetViews>
  <sheetFormatPr baseColWidth="10" defaultColWidth="11.5703125" defaultRowHeight="12" customHeight="1"/>
  <cols>
    <col min="1" max="1" width="35.28515625" style="112" customWidth="1"/>
    <col min="2" max="2" width="16.28515625" style="111" customWidth="1"/>
    <col min="3" max="3" width="11.42578125" style="111" customWidth="1"/>
    <col min="4" max="4" width="10.85546875" style="111" customWidth="1"/>
    <col min="5" max="5" width="11.5703125" style="111" customWidth="1"/>
    <col min="6" max="16384" width="11.5703125" style="112"/>
  </cols>
  <sheetData>
    <row r="1" spans="1:7" ht="12" customHeight="1">
      <c r="A1" s="110" t="s">
        <v>225</v>
      </c>
    </row>
    <row r="2" spans="1:7" ht="12" customHeight="1">
      <c r="A2" s="113" t="s">
        <v>56</v>
      </c>
    </row>
    <row r="3" spans="1:7" s="116" customFormat="1" ht="12" customHeight="1">
      <c r="A3" s="114"/>
      <c r="B3" s="115"/>
      <c r="C3" s="115"/>
      <c r="D3" s="115"/>
      <c r="E3" s="115"/>
    </row>
    <row r="4" spans="1:7" ht="12" customHeight="1" thickBot="1"/>
    <row r="5" spans="1:7" ht="12" customHeight="1" thickBot="1">
      <c r="B5" s="562" t="str">
        <f xml:space="preserve"> "Acumulado Enero - " &amp;'01 MACRO'!B1</f>
        <v>Acumulado Enero - Mayo</v>
      </c>
      <c r="C5" s="563"/>
      <c r="D5" s="564"/>
    </row>
    <row r="6" spans="1:7" ht="12" customHeight="1">
      <c r="A6" s="117" t="s">
        <v>73</v>
      </c>
      <c r="B6" s="118">
        <v>2016</v>
      </c>
      <c r="C6" s="118">
        <v>2017</v>
      </c>
      <c r="D6" s="119" t="s">
        <v>72</v>
      </c>
      <c r="E6" s="119" t="s">
        <v>38</v>
      </c>
    </row>
    <row r="7" spans="1:7" ht="12" customHeight="1" thickBot="1">
      <c r="A7" s="120"/>
      <c r="B7" s="121"/>
      <c r="C7" s="121"/>
      <c r="D7" s="122"/>
      <c r="E7" s="122"/>
    </row>
    <row r="8" spans="1:7" ht="12" customHeight="1">
      <c r="A8" s="123"/>
      <c r="B8" s="124"/>
      <c r="C8" s="125"/>
      <c r="D8" s="126"/>
      <c r="E8" s="127"/>
    </row>
    <row r="9" spans="1:7" ht="12" customHeight="1" thickBot="1">
      <c r="A9" s="123"/>
      <c r="B9" s="128"/>
      <c r="C9" s="128"/>
      <c r="D9" s="128"/>
      <c r="E9" s="128"/>
    </row>
    <row r="10" spans="1:7" ht="12" customHeight="1" thickBot="1">
      <c r="A10" s="129" t="s">
        <v>50</v>
      </c>
      <c r="B10" s="130">
        <f>SUM(B11:B26)</f>
        <v>914940.42120800004</v>
      </c>
      <c r="C10" s="131">
        <f>SUM(C11:C26)</f>
        <v>965197.46465799992</v>
      </c>
      <c r="D10" s="132">
        <v>1</v>
      </c>
      <c r="E10" s="133">
        <f t="shared" ref="E10:E26" si="0">C10/B10-1</f>
        <v>5.4929307182259191E-2</v>
      </c>
    </row>
    <row r="11" spans="1:7" ht="12" customHeight="1">
      <c r="A11" s="134" t="s">
        <v>58</v>
      </c>
      <c r="B11" s="135">
        <v>216798.700324</v>
      </c>
      <c r="C11" s="136">
        <v>206413.982212</v>
      </c>
      <c r="D11" s="137">
        <f t="shared" ref="D11:D26" si="1">C11/$C$10</f>
        <v>0.21385673892661852</v>
      </c>
      <c r="E11" s="138">
        <f>C11/B11-1</f>
        <v>-4.7900278444844457E-2</v>
      </c>
      <c r="G11" s="180"/>
    </row>
    <row r="12" spans="1:7" ht="12" customHeight="1">
      <c r="A12" s="134" t="s">
        <v>217</v>
      </c>
      <c r="B12" s="135">
        <v>85688.497166999994</v>
      </c>
      <c r="C12" s="136">
        <v>180330.207356</v>
      </c>
      <c r="D12" s="137">
        <f>C12/$C$10</f>
        <v>0.18683245031098036</v>
      </c>
      <c r="E12" s="138">
        <f t="shared" si="0"/>
        <v>1.104485588124517</v>
      </c>
    </row>
    <row r="13" spans="1:7" ht="12" customHeight="1">
      <c r="A13" s="134" t="s">
        <v>57</v>
      </c>
      <c r="B13" s="135">
        <v>197830.14253399996</v>
      </c>
      <c r="C13" s="136">
        <v>175901.99258300001</v>
      </c>
      <c r="D13" s="137">
        <f>C13/$C$10</f>
        <v>0.1822445655152313</v>
      </c>
      <c r="E13" s="138">
        <f t="shared" si="0"/>
        <v>-0.11084332079087122</v>
      </c>
    </row>
    <row r="14" spans="1:7" ht="12" customHeight="1">
      <c r="A14" s="134" t="s">
        <v>60</v>
      </c>
      <c r="B14" s="135">
        <v>140438.98316999999</v>
      </c>
      <c r="C14" s="136">
        <v>126573.322126</v>
      </c>
      <c r="D14" s="137">
        <f t="shared" si="1"/>
        <v>0.13113723021521709</v>
      </c>
      <c r="E14" s="138">
        <f t="shared" si="0"/>
        <v>-9.8730856141387435E-2</v>
      </c>
    </row>
    <row r="15" spans="1:7" ht="12" customHeight="1">
      <c r="A15" s="134" t="s">
        <v>66</v>
      </c>
      <c r="B15" s="135">
        <v>67747.015119000003</v>
      </c>
      <c r="C15" s="136">
        <v>79438.004411000002</v>
      </c>
      <c r="D15" s="137">
        <f t="shared" si="1"/>
        <v>8.2302334309536762E-2</v>
      </c>
      <c r="E15" s="138">
        <f t="shared" si="0"/>
        <v>0.17256833044916253</v>
      </c>
    </row>
    <row r="16" spans="1:7" ht="12" customHeight="1">
      <c r="A16" s="134" t="s">
        <v>59</v>
      </c>
      <c r="B16" s="135">
        <v>72787.593510999999</v>
      </c>
      <c r="C16" s="136">
        <v>63942.356337999998</v>
      </c>
      <c r="D16" s="137">
        <f t="shared" si="1"/>
        <v>6.6247953065911552E-2</v>
      </c>
      <c r="E16" s="138">
        <f t="shared" si="0"/>
        <v>-0.12152122011924005</v>
      </c>
    </row>
    <row r="17" spans="1:7" ht="12" customHeight="1">
      <c r="A17" s="134" t="s">
        <v>61</v>
      </c>
      <c r="B17" s="135">
        <v>57680.043132999999</v>
      </c>
      <c r="C17" s="136">
        <v>57627.613623000005</v>
      </c>
      <c r="D17" s="137">
        <f t="shared" si="1"/>
        <v>5.9705516988090408E-2</v>
      </c>
      <c r="E17" s="138">
        <f t="shared" si="0"/>
        <v>-9.0897140765133777E-4</v>
      </c>
    </row>
    <row r="18" spans="1:7" ht="12" customHeight="1">
      <c r="A18" s="134" t="s">
        <v>62</v>
      </c>
      <c r="B18" s="135">
        <v>24603.79797</v>
      </c>
      <c r="C18" s="136">
        <v>23026.752913</v>
      </c>
      <c r="D18" s="137">
        <f>C18/$C$10</f>
        <v>2.3857038332730295E-2</v>
      </c>
      <c r="E18" s="138">
        <f t="shared" si="0"/>
        <v>-6.4097626672228736E-2</v>
      </c>
    </row>
    <row r="19" spans="1:7" ht="12" customHeight="1">
      <c r="A19" s="134" t="s">
        <v>63</v>
      </c>
      <c r="B19" s="135">
        <v>17493.198207999998</v>
      </c>
      <c r="C19" s="136">
        <v>18230.309405</v>
      </c>
      <c r="D19" s="137">
        <f t="shared" si="1"/>
        <v>1.8887647421928919E-2</v>
      </c>
      <c r="E19" s="138">
        <f t="shared" si="0"/>
        <v>4.2137017384442865E-2</v>
      </c>
    </row>
    <row r="20" spans="1:7" ht="12" customHeight="1">
      <c r="A20" s="134" t="s">
        <v>64</v>
      </c>
      <c r="B20" s="135">
        <v>12428.159475</v>
      </c>
      <c r="C20" s="136">
        <v>12347.676173</v>
      </c>
      <c r="D20" s="137">
        <f t="shared" si="1"/>
        <v>1.2792901582449943E-2</v>
      </c>
      <c r="E20" s="138">
        <f t="shared" si="0"/>
        <v>-6.4758826246072987E-3</v>
      </c>
    </row>
    <row r="21" spans="1:7" ht="12" customHeight="1">
      <c r="A21" s="134" t="s">
        <v>65</v>
      </c>
      <c r="B21" s="135">
        <v>11701.539648000002</v>
      </c>
      <c r="C21" s="136">
        <v>12237.327927</v>
      </c>
      <c r="D21" s="137">
        <f t="shared" si="1"/>
        <v>1.2678574462828779E-2</v>
      </c>
      <c r="E21" s="138">
        <f t="shared" si="0"/>
        <v>4.5787844601421712E-2</v>
      </c>
    </row>
    <row r="22" spans="1:7" ht="12" customHeight="1">
      <c r="A22" s="134" t="s">
        <v>67</v>
      </c>
      <c r="B22" s="135">
        <v>6836.2195739999997</v>
      </c>
      <c r="C22" s="136">
        <v>5378.8422919999994</v>
      </c>
      <c r="D22" s="137">
        <f t="shared" si="1"/>
        <v>5.5727894953660016E-3</v>
      </c>
      <c r="E22" s="138">
        <f t="shared" si="0"/>
        <v>-0.21318467995715085</v>
      </c>
    </row>
    <row r="23" spans="1:7" ht="12" customHeight="1">
      <c r="A23" s="134" t="s">
        <v>68</v>
      </c>
      <c r="B23" s="135">
        <v>1311.0145299999999</v>
      </c>
      <c r="C23" s="136">
        <v>1790.326378</v>
      </c>
      <c r="D23" s="137">
        <f t="shared" si="1"/>
        <v>1.8548809373783108E-3</v>
      </c>
      <c r="E23" s="138">
        <f t="shared" si="0"/>
        <v>0.36560376489496282</v>
      </c>
    </row>
    <row r="24" spans="1:7" ht="12" customHeight="1">
      <c r="A24" s="134" t="s">
        <v>69</v>
      </c>
      <c r="B24" s="135">
        <v>719.34474</v>
      </c>
      <c r="C24" s="136">
        <v>975.02543000000003</v>
      </c>
      <c r="D24" s="137">
        <f t="shared" ref="D24" si="2">C24/$C$10</f>
        <v>1.0101823364667482E-3</v>
      </c>
      <c r="E24" s="138">
        <f t="shared" ref="E24" si="3">C24/B24-1</f>
        <v>0.35543554541039679</v>
      </c>
    </row>
    <row r="25" spans="1:7" ht="12" customHeight="1">
      <c r="A25" s="134" t="s">
        <v>70</v>
      </c>
      <c r="B25" s="135">
        <v>606.71440500000006</v>
      </c>
      <c r="C25" s="136">
        <v>697.17023200000006</v>
      </c>
      <c r="D25" s="137">
        <f t="shared" si="1"/>
        <v>7.2230839546084968E-4</v>
      </c>
      <c r="E25" s="138">
        <f t="shared" si="0"/>
        <v>0.14909127961120361</v>
      </c>
    </row>
    <row r="26" spans="1:7" ht="12" customHeight="1" thickBot="1">
      <c r="A26" s="134" t="s">
        <v>71</v>
      </c>
      <c r="B26" s="135">
        <v>269.45769999999999</v>
      </c>
      <c r="C26" s="139">
        <v>286.55525899999998</v>
      </c>
      <c r="D26" s="140">
        <f t="shared" si="1"/>
        <v>2.9688770380425274E-4</v>
      </c>
      <c r="E26" s="138">
        <f t="shared" si="0"/>
        <v>6.3451736580546703E-2</v>
      </c>
    </row>
    <row r="27" spans="1:7" ht="12" customHeight="1" thickBot="1"/>
    <row r="28" spans="1:7" ht="12" customHeight="1" thickBot="1">
      <c r="A28" s="129" t="s">
        <v>302</v>
      </c>
      <c r="B28" s="130">
        <f>SUM(B29:B45)</f>
        <v>64472742.607981168</v>
      </c>
      <c r="C28" s="131">
        <f>SUM(C29:C45)</f>
        <v>59856168.036145724</v>
      </c>
      <c r="D28" s="132">
        <v>1</v>
      </c>
      <c r="E28" s="133">
        <f>C28/B28-1</f>
        <v>-7.1605059519586067E-2</v>
      </c>
    </row>
    <row r="29" spans="1:7" ht="12" customHeight="1">
      <c r="A29" s="134" t="s">
        <v>70</v>
      </c>
      <c r="B29" s="135">
        <v>18408228.326763</v>
      </c>
      <c r="C29" s="136">
        <v>17074384.149807997</v>
      </c>
      <c r="D29" s="137">
        <f>C29/$C$28</f>
        <v>0.28525688680065819</v>
      </c>
      <c r="E29" s="138">
        <f>C29/B29-1</f>
        <v>-7.2459128237549075E-2</v>
      </c>
      <c r="F29" s="275"/>
      <c r="G29" s="275"/>
    </row>
    <row r="30" spans="1:7" ht="12" customHeight="1">
      <c r="A30" s="134" t="s">
        <v>64</v>
      </c>
      <c r="B30" s="135">
        <v>15166296.565598002</v>
      </c>
      <c r="C30" s="136">
        <v>12904745.924601</v>
      </c>
      <c r="D30" s="137">
        <f>C30/$C$28</f>
        <v>0.21559592516527501</v>
      </c>
      <c r="E30" s="138">
        <f>C30/B30-1</f>
        <v>-0.14911686786653766</v>
      </c>
    </row>
    <row r="31" spans="1:7" ht="12" customHeight="1">
      <c r="A31" s="134" t="s">
        <v>58</v>
      </c>
      <c r="B31" s="135">
        <v>6567247.4544592109</v>
      </c>
      <c r="C31" s="136">
        <v>7923150.8838251252</v>
      </c>
      <c r="D31" s="137">
        <f t="shared" ref="D31:D43" si="4">C31/$C$28</f>
        <v>0.13236983161101329</v>
      </c>
      <c r="E31" s="138">
        <f t="shared" ref="E31:E43" si="5">C31/B31-1</f>
        <v>0.2064644950214638</v>
      </c>
    </row>
    <row r="32" spans="1:7" ht="12" customHeight="1">
      <c r="A32" s="134" t="s">
        <v>46</v>
      </c>
      <c r="B32" s="135">
        <v>8353813.8401899999</v>
      </c>
      <c r="C32" s="136">
        <v>5671502.4015599992</v>
      </c>
      <c r="D32" s="137">
        <f t="shared" si="4"/>
        <v>9.4752179894561792E-2</v>
      </c>
      <c r="E32" s="138">
        <f t="shared" si="5"/>
        <v>-0.32108824663119306</v>
      </c>
    </row>
    <row r="33" spans="1:5" ht="12" customHeight="1">
      <c r="A33" s="134" t="s">
        <v>71</v>
      </c>
      <c r="B33" s="135">
        <v>5042534.8147339998</v>
      </c>
      <c r="C33" s="136">
        <v>4371673.0287720002</v>
      </c>
      <c r="D33" s="137">
        <f t="shared" si="4"/>
        <v>7.3036299719889355E-2</v>
      </c>
      <c r="E33" s="138">
        <f t="shared" si="5"/>
        <v>-0.13304058585808465</v>
      </c>
    </row>
    <row r="34" spans="1:5" ht="12" customHeight="1">
      <c r="A34" s="134" t="s">
        <v>68</v>
      </c>
      <c r="B34" s="135">
        <v>4204856.1063626064</v>
      </c>
      <c r="C34" s="136">
        <v>4355505.5490659717</v>
      </c>
      <c r="D34" s="137">
        <f t="shared" si="4"/>
        <v>7.27661942280666E-2</v>
      </c>
      <c r="E34" s="138">
        <f t="shared" si="5"/>
        <v>3.5827490618622893E-2</v>
      </c>
    </row>
    <row r="35" spans="1:5" ht="12" customHeight="1">
      <c r="A35" s="134" t="s">
        <v>57</v>
      </c>
      <c r="B35" s="135">
        <v>998317.99910699995</v>
      </c>
      <c r="C35" s="136">
        <v>1866122.817271</v>
      </c>
      <c r="D35" s="137">
        <f t="shared" si="4"/>
        <v>3.1176783922153062E-2</v>
      </c>
      <c r="E35" s="138">
        <f t="shared" si="5"/>
        <v>0.8692669259096355</v>
      </c>
    </row>
    <row r="36" spans="1:5" ht="12" customHeight="1">
      <c r="A36" s="134" t="s">
        <v>60</v>
      </c>
      <c r="B36" s="135">
        <v>1208079.5506</v>
      </c>
      <c r="C36" s="136">
        <v>1430774.8385160002</v>
      </c>
      <c r="D36" s="137">
        <f t="shared" si="4"/>
        <v>2.3903548881578737E-2</v>
      </c>
      <c r="E36" s="138">
        <f t="shared" si="5"/>
        <v>0.18433826464937453</v>
      </c>
    </row>
    <row r="37" spans="1:5" ht="12" customHeight="1">
      <c r="A37" s="134" t="s">
        <v>61</v>
      </c>
      <c r="B37" s="135">
        <v>1639034.3025</v>
      </c>
      <c r="C37" s="136">
        <v>1413040.915726</v>
      </c>
      <c r="D37" s="137">
        <f t="shared" si="4"/>
        <v>2.3607273270027877E-2</v>
      </c>
      <c r="E37" s="138">
        <f t="shared" si="5"/>
        <v>-0.13788203604359894</v>
      </c>
    </row>
    <row r="38" spans="1:5" ht="12" customHeight="1">
      <c r="A38" s="134" t="s">
        <v>217</v>
      </c>
      <c r="B38" s="135">
        <v>1133407.0981650001</v>
      </c>
      <c r="C38" s="136">
        <v>1158254.17821</v>
      </c>
      <c r="D38" s="137">
        <f t="shared" si="4"/>
        <v>1.9350623606752736E-2</v>
      </c>
      <c r="E38" s="138">
        <f t="shared" si="5"/>
        <v>2.1922467298138182E-2</v>
      </c>
    </row>
    <row r="39" spans="1:5" ht="12" customHeight="1">
      <c r="A39" s="134" t="s">
        <v>62</v>
      </c>
      <c r="B39" s="135">
        <v>586560.10235900001</v>
      </c>
      <c r="C39" s="136">
        <v>788827.57590399997</v>
      </c>
      <c r="D39" s="137">
        <f t="shared" si="4"/>
        <v>1.3178718280589656E-2</v>
      </c>
      <c r="E39" s="138">
        <f t="shared" si="5"/>
        <v>0.34483674005703779</v>
      </c>
    </row>
    <row r="40" spans="1:5" ht="12" customHeight="1">
      <c r="A40" s="134" t="s">
        <v>66</v>
      </c>
      <c r="B40" s="135">
        <v>295446.511826</v>
      </c>
      <c r="C40" s="136">
        <v>340458.52293400001</v>
      </c>
      <c r="D40" s="137">
        <f t="shared" si="4"/>
        <v>5.6879438511400386E-3</v>
      </c>
      <c r="E40" s="138">
        <f t="shared" si="5"/>
        <v>0.15235248786592326</v>
      </c>
    </row>
    <row r="41" spans="1:5" ht="12" customHeight="1">
      <c r="A41" s="134" t="s">
        <v>59</v>
      </c>
      <c r="B41" s="135">
        <v>398448.25310199999</v>
      </c>
      <c r="C41" s="136">
        <v>259925.43622500001</v>
      </c>
      <c r="D41" s="137">
        <f t="shared" si="4"/>
        <v>4.3425004431963832E-3</v>
      </c>
      <c r="E41" s="138">
        <f t="shared" si="5"/>
        <v>-0.34765572643014975</v>
      </c>
    </row>
    <row r="42" spans="1:5" ht="12" customHeight="1">
      <c r="A42" s="134" t="s">
        <v>65</v>
      </c>
      <c r="B42" s="135">
        <v>201109.86366999999</v>
      </c>
      <c r="C42" s="136">
        <v>197227.27823299999</v>
      </c>
      <c r="D42" s="137">
        <f t="shared" si="4"/>
        <v>3.2950201241399063E-3</v>
      </c>
      <c r="E42" s="138">
        <f t="shared" si="5"/>
        <v>-1.9305793192575194E-2</v>
      </c>
    </row>
    <row r="43" spans="1:5" ht="12" customHeight="1">
      <c r="A43" s="134" t="s">
        <v>63</v>
      </c>
      <c r="B43" s="135">
        <v>109398.77860000001</v>
      </c>
      <c r="C43" s="136">
        <v>50256.423018000001</v>
      </c>
      <c r="D43" s="137">
        <f t="shared" si="4"/>
        <v>8.396197863460176E-4</v>
      </c>
      <c r="E43" s="138">
        <f t="shared" si="5"/>
        <v>-0.54061257665631746</v>
      </c>
    </row>
    <row r="44" spans="1:5" ht="12" customHeight="1">
      <c r="A44" s="134" t="s">
        <v>355</v>
      </c>
      <c r="B44" s="135">
        <v>141598.28968035599</v>
      </c>
      <c r="C44" s="136">
        <v>47634.515796650179</v>
      </c>
      <c r="D44" s="137">
        <f t="shared" ref="D44:D45" si="6">C44/$C$28</f>
        <v>7.9581632703057143E-4</v>
      </c>
      <c r="E44" s="138">
        <f t="shared" ref="E44:E45" si="7">C44/B44-1</f>
        <v>-0.6635939889939324</v>
      </c>
    </row>
    <row r="45" spans="1:5" ht="12" customHeight="1" thickBot="1">
      <c r="A45" s="134" t="s">
        <v>67</v>
      </c>
      <c r="B45" s="135">
        <v>18364.750264999999</v>
      </c>
      <c r="C45" s="136">
        <v>2683.5966800000001</v>
      </c>
      <c r="D45" s="140">
        <f t="shared" si="6"/>
        <v>4.4834087581073339E-5</v>
      </c>
      <c r="E45" s="138">
        <f t="shared" si="7"/>
        <v>-0.85387241093528687</v>
      </c>
    </row>
    <row r="46" spans="1:5" ht="12" customHeight="1" thickBot="1">
      <c r="A46" s="141"/>
      <c r="B46" s="142"/>
      <c r="C46" s="143"/>
    </row>
    <row r="47" spans="1:5" ht="12" customHeight="1" thickBot="1">
      <c r="A47" s="129" t="s">
        <v>54</v>
      </c>
      <c r="B47" s="144">
        <f>SUM(B48:B59)</f>
        <v>129781.74429400002</v>
      </c>
      <c r="C47" s="131">
        <f>SUM(C48:C59)</f>
        <v>123959.25270799999</v>
      </c>
      <c r="D47" s="132">
        <v>1</v>
      </c>
      <c r="E47" s="133">
        <f t="shared" ref="E47:E58" si="8">C47/B47-1</f>
        <v>-4.4863718065077718E-2</v>
      </c>
    </row>
    <row r="48" spans="1:5" ht="12" customHeight="1">
      <c r="A48" s="134" t="s">
        <v>62</v>
      </c>
      <c r="B48" s="135">
        <v>35867.504024000002</v>
      </c>
      <c r="C48" s="136">
        <v>37995.028107999999</v>
      </c>
      <c r="D48" s="137">
        <f t="shared" ref="D48:D59" si="9">C48/$C$47</f>
        <v>0.30651223912668768</v>
      </c>
      <c r="E48" s="138">
        <f t="shared" si="8"/>
        <v>5.9316201165724003E-2</v>
      </c>
    </row>
    <row r="49" spans="1:5" ht="12" customHeight="1">
      <c r="A49" s="134" t="s">
        <v>65</v>
      </c>
      <c r="B49" s="135">
        <v>25025.674193000003</v>
      </c>
      <c r="C49" s="136">
        <v>22830.148659000002</v>
      </c>
      <c r="D49" s="137">
        <f t="shared" si="9"/>
        <v>0.18417462319476058</v>
      </c>
      <c r="E49" s="138">
        <f t="shared" si="8"/>
        <v>-8.7730924532459453E-2</v>
      </c>
    </row>
    <row r="50" spans="1:5" ht="12" customHeight="1">
      <c r="A50" s="134" t="s">
        <v>66</v>
      </c>
      <c r="B50" s="135">
        <v>22491.122951999998</v>
      </c>
      <c r="C50" s="136">
        <v>16706.8603</v>
      </c>
      <c r="D50" s="137">
        <f t="shared" si="9"/>
        <v>0.1347770330574265</v>
      </c>
      <c r="E50" s="138">
        <f t="shared" si="8"/>
        <v>-0.25717980664392026</v>
      </c>
    </row>
    <row r="51" spans="1:5" ht="12" customHeight="1">
      <c r="A51" s="134" t="s">
        <v>57</v>
      </c>
      <c r="B51" s="135">
        <v>10289.458654</v>
      </c>
      <c r="C51" s="136">
        <v>15710.001627</v>
      </c>
      <c r="D51" s="137">
        <f t="shared" si="9"/>
        <v>0.12673520760896068</v>
      </c>
      <c r="E51" s="138">
        <f t="shared" si="8"/>
        <v>0.52680545743704199</v>
      </c>
    </row>
    <row r="52" spans="1:5" ht="12" customHeight="1">
      <c r="A52" s="134" t="s">
        <v>69</v>
      </c>
      <c r="B52" s="135">
        <v>9580.64048</v>
      </c>
      <c r="C52" s="136">
        <v>9703.1000299999996</v>
      </c>
      <c r="D52" s="137">
        <f t="shared" si="9"/>
        <v>7.827652892403883E-2</v>
      </c>
      <c r="E52" s="138">
        <f t="shared" si="8"/>
        <v>1.2781979477847871E-2</v>
      </c>
    </row>
    <row r="53" spans="1:5" ht="12" customHeight="1">
      <c r="A53" s="134" t="s">
        <v>58</v>
      </c>
      <c r="B53" s="135">
        <v>8325.1247210000001</v>
      </c>
      <c r="C53" s="136">
        <v>6805.1819919999998</v>
      </c>
      <c r="D53" s="137">
        <f t="shared" si="9"/>
        <v>5.4898539990640101E-2</v>
      </c>
      <c r="E53" s="138">
        <f t="shared" si="8"/>
        <v>-0.18257296796598954</v>
      </c>
    </row>
    <row r="54" spans="1:5" ht="12" customHeight="1">
      <c r="A54" s="134" t="s">
        <v>63</v>
      </c>
      <c r="B54" s="135">
        <v>7535.6624039999997</v>
      </c>
      <c r="C54" s="136">
        <v>6541.2796389999994</v>
      </c>
      <c r="D54" s="137">
        <f t="shared" si="9"/>
        <v>5.2769595621947822E-2</v>
      </c>
      <c r="E54" s="138">
        <f t="shared" si="8"/>
        <v>-0.13195691522382591</v>
      </c>
    </row>
    <row r="55" spans="1:5" ht="12" customHeight="1">
      <c r="A55" s="134" t="s">
        <v>67</v>
      </c>
      <c r="B55" s="135">
        <v>6411.7931480000007</v>
      </c>
      <c r="C55" s="136">
        <v>4512.5030779999997</v>
      </c>
      <c r="D55" s="137">
        <f t="shared" si="9"/>
        <v>3.6403116180683259E-2</v>
      </c>
      <c r="E55" s="138">
        <f t="shared" si="8"/>
        <v>-0.29621823819947113</v>
      </c>
    </row>
    <row r="56" spans="1:5" ht="12" customHeight="1">
      <c r="A56" s="134" t="s">
        <v>71</v>
      </c>
      <c r="B56" s="135">
        <v>3547.4431439999998</v>
      </c>
      <c r="C56" s="136">
        <v>2139.7190860000001</v>
      </c>
      <c r="D56" s="137">
        <f t="shared" si="9"/>
        <v>1.7261471324293554E-2</v>
      </c>
      <c r="E56" s="138">
        <f t="shared" si="8"/>
        <v>-0.39682779987072281</v>
      </c>
    </row>
    <row r="57" spans="1:5" ht="12" customHeight="1">
      <c r="A57" s="134" t="s">
        <v>68</v>
      </c>
      <c r="B57" s="135">
        <v>211.24885499999999</v>
      </c>
      <c r="C57" s="136">
        <v>649.07810199999994</v>
      </c>
      <c r="D57" s="137">
        <f t="shared" si="9"/>
        <v>5.2362214826268492E-3</v>
      </c>
      <c r="E57" s="138">
        <f t="shared" si="8"/>
        <v>2.0725757164458951</v>
      </c>
    </row>
    <row r="58" spans="1:5" ht="12" customHeight="1">
      <c r="A58" s="134" t="s">
        <v>70</v>
      </c>
      <c r="B58" s="135">
        <v>494.37875700000001</v>
      </c>
      <c r="C58" s="136">
        <v>356.147445</v>
      </c>
      <c r="D58" s="137">
        <f t="shared" si="9"/>
        <v>2.8731009361515395E-3</v>
      </c>
      <c r="E58" s="138">
        <f t="shared" si="8"/>
        <v>-0.27960609156999039</v>
      </c>
    </row>
    <row r="59" spans="1:5" ht="12" customHeight="1" thickBot="1">
      <c r="A59" s="134" t="s">
        <v>60</v>
      </c>
      <c r="B59" s="135">
        <v>1.6929620000000001</v>
      </c>
      <c r="C59" s="139">
        <v>10.204642</v>
      </c>
      <c r="D59" s="140">
        <f t="shared" si="9"/>
        <v>8.2322551782707066E-5</v>
      </c>
      <c r="E59" s="138" t="s">
        <v>85</v>
      </c>
    </row>
    <row r="60" spans="1:5" ht="12" customHeight="1" thickBot="1"/>
    <row r="61" spans="1:5" ht="12" customHeight="1" thickBot="1">
      <c r="A61" s="129" t="s">
        <v>216</v>
      </c>
      <c r="B61" s="130">
        <f>SUM(B62:B77)</f>
        <v>1803277.0948219998</v>
      </c>
      <c r="C61" s="131">
        <f>SUM(C62:C77)</f>
        <v>1749183.3917211893</v>
      </c>
      <c r="D61" s="132">
        <v>1</v>
      </c>
      <c r="E61" s="133">
        <f>C61/B61-1</f>
        <v>-2.9997443685242486E-2</v>
      </c>
    </row>
    <row r="62" spans="1:5" ht="12" customHeight="1">
      <c r="A62" s="134" t="s">
        <v>65</v>
      </c>
      <c r="B62" s="135">
        <v>332988.28739399998</v>
      </c>
      <c r="C62" s="136">
        <v>364937.89106200001</v>
      </c>
      <c r="D62" s="137">
        <f t="shared" ref="D62:D77" si="10">C62/$C$61</f>
        <v>0.2086332929921674</v>
      </c>
      <c r="E62" s="138">
        <f t="shared" ref="E62:E77" si="11">C62/B62-1</f>
        <v>9.5948130542490961E-2</v>
      </c>
    </row>
    <row r="63" spans="1:5" ht="12" customHeight="1">
      <c r="A63" s="134" t="s">
        <v>57</v>
      </c>
      <c r="B63" s="135">
        <v>334112.43982700002</v>
      </c>
      <c r="C63" s="136">
        <v>324728.66704899998</v>
      </c>
      <c r="D63" s="137">
        <f t="shared" si="10"/>
        <v>0.18564586685760165</v>
      </c>
      <c r="E63" s="138">
        <f t="shared" si="11"/>
        <v>-2.8085673143025902E-2</v>
      </c>
    </row>
    <row r="64" spans="1:5" ht="12" customHeight="1">
      <c r="A64" s="134" t="s">
        <v>66</v>
      </c>
      <c r="B64" s="135">
        <v>353771.698378</v>
      </c>
      <c r="C64" s="136">
        <v>304964.311422</v>
      </c>
      <c r="D64" s="137">
        <f t="shared" si="10"/>
        <v>0.17434667677808008</v>
      </c>
      <c r="E64" s="138">
        <f t="shared" si="11"/>
        <v>-0.13796294949476151</v>
      </c>
    </row>
    <row r="65" spans="1:5" ht="12" customHeight="1">
      <c r="A65" s="134" t="s">
        <v>62</v>
      </c>
      <c r="B65" s="135">
        <v>257877.596108</v>
      </c>
      <c r="C65" s="136">
        <v>254656.94040399999</v>
      </c>
      <c r="D65" s="137">
        <f t="shared" si="10"/>
        <v>0.14558618702263038</v>
      </c>
      <c r="E65" s="138">
        <f t="shared" si="11"/>
        <v>-1.2489086886986467E-2</v>
      </c>
    </row>
    <row r="66" spans="1:5" ht="12" customHeight="1">
      <c r="A66" s="134" t="s">
        <v>71</v>
      </c>
      <c r="B66" s="135">
        <v>126096.49249600001</v>
      </c>
      <c r="C66" s="136">
        <v>156431.23972400001</v>
      </c>
      <c r="D66" s="137">
        <f>C66/$C$61</f>
        <v>8.9431011330419918E-2</v>
      </c>
      <c r="E66" s="138">
        <f>C66/B66-1</f>
        <v>0.24056773211960891</v>
      </c>
    </row>
    <row r="67" spans="1:5" ht="12" customHeight="1">
      <c r="A67" s="134" t="s">
        <v>58</v>
      </c>
      <c r="B67" s="135">
        <v>116716.67146900001</v>
      </c>
      <c r="C67" s="136">
        <v>90189.148522189134</v>
      </c>
      <c r="D67" s="137">
        <f t="shared" si="10"/>
        <v>5.1560716245678151E-2</v>
      </c>
      <c r="E67" s="138">
        <f t="shared" si="11"/>
        <v>-0.22728135246605785</v>
      </c>
    </row>
    <row r="68" spans="1:5" ht="12" customHeight="1">
      <c r="A68" s="134" t="s">
        <v>67</v>
      </c>
      <c r="B68" s="135">
        <v>71232.343703999984</v>
      </c>
      <c r="C68" s="136">
        <v>54319.360611000004</v>
      </c>
      <c r="D68" s="137">
        <f t="shared" si="10"/>
        <v>3.1054125523996643E-2</v>
      </c>
      <c r="E68" s="138">
        <f t="shared" si="11"/>
        <v>-0.23743403927969098</v>
      </c>
    </row>
    <row r="69" spans="1:5" ht="12" customHeight="1">
      <c r="A69" s="134" t="s">
        <v>63</v>
      </c>
      <c r="B69" s="135">
        <v>52630.197500999995</v>
      </c>
      <c r="C69" s="136">
        <v>49063.420043000006</v>
      </c>
      <c r="D69" s="137">
        <f t="shared" si="10"/>
        <v>2.8049328775481799E-2</v>
      </c>
      <c r="E69" s="138">
        <f t="shared" si="11"/>
        <v>-6.777055050823666E-2</v>
      </c>
    </row>
    <row r="70" spans="1:5" ht="12" customHeight="1">
      <c r="A70" s="134" t="s">
        <v>59</v>
      </c>
      <c r="B70" s="135">
        <v>36510.923586999997</v>
      </c>
      <c r="C70" s="136">
        <v>36536.589080999998</v>
      </c>
      <c r="D70" s="137">
        <f t="shared" si="10"/>
        <v>2.0887797845512441E-2</v>
      </c>
      <c r="E70" s="138">
        <f t="shared" si="11"/>
        <v>7.0295384171381592E-4</v>
      </c>
    </row>
    <row r="71" spans="1:5" ht="12" customHeight="1">
      <c r="A71" s="134" t="s">
        <v>69</v>
      </c>
      <c r="B71" s="135">
        <v>32541.003548000001</v>
      </c>
      <c r="C71" s="136">
        <v>32966.722240000003</v>
      </c>
      <c r="D71" s="137">
        <f t="shared" si="10"/>
        <v>1.8846921595545726E-2</v>
      </c>
      <c r="E71" s="138">
        <f t="shared" si="11"/>
        <v>1.308253113251534E-2</v>
      </c>
    </row>
    <row r="72" spans="1:5" ht="12" customHeight="1">
      <c r="A72" s="134" t="s">
        <v>70</v>
      </c>
      <c r="B72" s="135">
        <v>28439.102908000001</v>
      </c>
      <c r="C72" s="136">
        <v>23423.079708000001</v>
      </c>
      <c r="D72" s="137">
        <f t="shared" si="10"/>
        <v>1.3390865599833867E-2</v>
      </c>
      <c r="E72" s="138">
        <f t="shared" si="11"/>
        <v>-0.17637768730704151</v>
      </c>
    </row>
    <row r="73" spans="1:5" ht="12" customHeight="1">
      <c r="A73" s="134" t="s">
        <v>61</v>
      </c>
      <c r="B73" s="135">
        <v>21937.470434999999</v>
      </c>
      <c r="C73" s="136">
        <v>22861.22351</v>
      </c>
      <c r="D73" s="137">
        <f t="shared" si="10"/>
        <v>1.3069655027712474E-2</v>
      </c>
      <c r="E73" s="138">
        <f t="shared" si="11"/>
        <v>4.2108459028448619E-2</v>
      </c>
    </row>
    <row r="74" spans="1:5" ht="12" customHeight="1">
      <c r="A74" s="134" t="s">
        <v>60</v>
      </c>
      <c r="B74" s="111">
        <v>18203.576744000002</v>
      </c>
      <c r="C74" s="136">
        <v>16835.788059000002</v>
      </c>
      <c r="D74" s="137">
        <f t="shared" si="10"/>
        <v>9.6249416377282519E-3</v>
      </c>
      <c r="E74" s="138">
        <f t="shared" si="11"/>
        <v>-7.5138457910521872E-2</v>
      </c>
    </row>
    <row r="75" spans="1:5" ht="12" customHeight="1">
      <c r="A75" s="134" t="s">
        <v>64</v>
      </c>
      <c r="B75" s="111">
        <v>19444.908679</v>
      </c>
      <c r="C75" s="136">
        <v>16157.638795000001</v>
      </c>
      <c r="D75" s="137">
        <f t="shared" si="10"/>
        <v>9.2372468612916293E-3</v>
      </c>
      <c r="E75" s="138">
        <f t="shared" si="11"/>
        <v>-0.1690555578463665</v>
      </c>
    </row>
    <row r="76" spans="1:5" ht="12" customHeight="1">
      <c r="A76" s="134" t="s">
        <v>68</v>
      </c>
      <c r="B76" s="111">
        <v>549.860725</v>
      </c>
      <c r="C76" s="136">
        <v>618.23709799999995</v>
      </c>
      <c r="D76" s="137">
        <f t="shared" si="10"/>
        <v>3.5344327011455165E-4</v>
      </c>
      <c r="E76" s="138">
        <f t="shared" si="11"/>
        <v>0.12435216754206246</v>
      </c>
    </row>
    <row r="77" spans="1:5" ht="12" customHeight="1" thickBot="1">
      <c r="A77" s="112" t="s">
        <v>217</v>
      </c>
      <c r="B77" s="111">
        <v>224.52131900000001</v>
      </c>
      <c r="C77" s="139">
        <v>493.13439299999999</v>
      </c>
      <c r="D77" s="140">
        <f t="shared" si="10"/>
        <v>2.8192263620497666E-4</v>
      </c>
      <c r="E77" s="138">
        <f t="shared" si="11"/>
        <v>1.1963811507806081</v>
      </c>
    </row>
    <row r="78" spans="1:5" ht="12" customHeight="1" thickBot="1"/>
    <row r="79" spans="1:5" ht="12" customHeight="1" thickBot="1">
      <c r="A79" s="129" t="s">
        <v>55</v>
      </c>
      <c r="B79" s="130">
        <f>SUM(B80:B91)</f>
        <v>517712.04747900006</v>
      </c>
      <c r="C79" s="131">
        <f>SUM(C80:C91)</f>
        <v>581994.97489399998</v>
      </c>
      <c r="D79" s="132">
        <v>1</v>
      </c>
      <c r="E79" s="133">
        <f t="shared" ref="E79" si="12">C79/B79-1</f>
        <v>0.1241673392149667</v>
      </c>
    </row>
    <row r="80" spans="1:5" ht="12" customHeight="1">
      <c r="A80" s="134" t="s">
        <v>57</v>
      </c>
      <c r="B80" s="135">
        <v>91489.004059000014</v>
      </c>
      <c r="C80" s="145">
        <v>184242.68177000002</v>
      </c>
      <c r="D80" s="146">
        <f t="shared" ref="D80:D91" si="13">C80/$C$79</f>
        <v>0.31657091507286045</v>
      </c>
      <c r="E80" s="138">
        <f t="shared" ref="E80:E91" si="14">C80/B80-1</f>
        <v>1.0138232311632165</v>
      </c>
    </row>
    <row r="81" spans="1:5" ht="12" customHeight="1">
      <c r="A81" s="134" t="s">
        <v>66</v>
      </c>
      <c r="B81" s="135">
        <v>134058.555658</v>
      </c>
      <c r="C81" s="136">
        <v>114384.71303999997</v>
      </c>
      <c r="D81" s="137">
        <f t="shared" si="13"/>
        <v>0.19653900458647966</v>
      </c>
      <c r="E81" s="138">
        <f t="shared" si="14"/>
        <v>-0.14675559140134586</v>
      </c>
    </row>
    <row r="82" spans="1:5" ht="12" customHeight="1">
      <c r="A82" s="134" t="s">
        <v>62</v>
      </c>
      <c r="B82" s="135">
        <v>106224.42817299999</v>
      </c>
      <c r="C82" s="136">
        <v>103539.327284</v>
      </c>
      <c r="D82" s="137">
        <f t="shared" si="13"/>
        <v>0.17790416025990233</v>
      </c>
      <c r="E82" s="138">
        <f t="shared" si="14"/>
        <v>-2.5277621496130442E-2</v>
      </c>
    </row>
    <row r="83" spans="1:5" ht="12" customHeight="1">
      <c r="A83" s="134" t="s">
        <v>63</v>
      </c>
      <c r="B83" s="135">
        <v>77179.052349999998</v>
      </c>
      <c r="C83" s="136">
        <v>67648.30799999999</v>
      </c>
      <c r="D83" s="137">
        <f t="shared" si="13"/>
        <v>0.11623520978393485</v>
      </c>
      <c r="E83" s="138">
        <f t="shared" si="14"/>
        <v>-0.12348874545361022</v>
      </c>
    </row>
    <row r="84" spans="1:5" ht="12" customHeight="1">
      <c r="A84" s="134" t="s">
        <v>65</v>
      </c>
      <c r="B84" s="135">
        <v>54827.698067999998</v>
      </c>
      <c r="C84" s="136">
        <v>54506.151527999995</v>
      </c>
      <c r="D84" s="137">
        <f t="shared" si="13"/>
        <v>9.3653989947125094E-2</v>
      </c>
      <c r="E84" s="138">
        <f t="shared" si="14"/>
        <v>-5.864673355449046E-3</v>
      </c>
    </row>
    <row r="85" spans="1:5" ht="12" customHeight="1">
      <c r="A85" s="134" t="s">
        <v>69</v>
      </c>
      <c r="B85" s="135">
        <v>15900.041010000001</v>
      </c>
      <c r="C85" s="136">
        <v>22542.302889999999</v>
      </c>
      <c r="D85" s="137">
        <f t="shared" si="13"/>
        <v>3.8732813619405698E-2</v>
      </c>
      <c r="E85" s="138">
        <f t="shared" si="14"/>
        <v>0.41775124201393488</v>
      </c>
    </row>
    <row r="86" spans="1:5" ht="12" customHeight="1">
      <c r="A86" s="134" t="s">
        <v>71</v>
      </c>
      <c r="B86" s="135">
        <v>21352.553081999999</v>
      </c>
      <c r="C86" s="136">
        <v>19377.743847999998</v>
      </c>
      <c r="D86" s="137">
        <f t="shared" si="13"/>
        <v>3.3295380001398311E-2</v>
      </c>
      <c r="E86" s="138">
        <f t="shared" si="14"/>
        <v>-9.2485859953896798E-2</v>
      </c>
    </row>
    <row r="87" spans="1:5" ht="12" customHeight="1">
      <c r="A87" s="134" t="s">
        <v>58</v>
      </c>
      <c r="B87" s="135">
        <v>10807.48893</v>
      </c>
      <c r="C87" s="136">
        <v>10558.328441</v>
      </c>
      <c r="D87" s="137">
        <f t="shared" si="13"/>
        <v>1.8141614440782775E-2</v>
      </c>
      <c r="E87" s="138">
        <f t="shared" si="14"/>
        <v>-2.3054429258619669E-2</v>
      </c>
    </row>
    <row r="88" spans="1:5" ht="12" customHeight="1">
      <c r="A88" s="134" t="s">
        <v>67</v>
      </c>
      <c r="B88" s="135">
        <v>4668.2494449999995</v>
      </c>
      <c r="C88" s="136">
        <v>4074.376612</v>
      </c>
      <c r="D88" s="137">
        <f t="shared" si="13"/>
        <v>7.00070754518469E-3</v>
      </c>
      <c r="E88" s="138">
        <f t="shared" si="14"/>
        <v>-0.1272153170041237</v>
      </c>
    </row>
    <row r="89" spans="1:5" ht="12" customHeight="1">
      <c r="A89" s="134" t="s">
        <v>70</v>
      </c>
      <c r="B89" s="135">
        <v>979.646702</v>
      </c>
      <c r="C89" s="136">
        <v>884.55052499999999</v>
      </c>
      <c r="D89" s="137">
        <f t="shared" si="13"/>
        <v>1.5198593856606839E-3</v>
      </c>
      <c r="E89" s="138">
        <f t="shared" si="14"/>
        <v>-9.7071910522289473E-2</v>
      </c>
    </row>
    <row r="90" spans="1:5" ht="12" customHeight="1">
      <c r="A90" s="134" t="s">
        <v>68</v>
      </c>
      <c r="B90" s="135">
        <v>223.46362300000001</v>
      </c>
      <c r="C90" s="136">
        <v>226.88978900000001</v>
      </c>
      <c r="D90" s="137">
        <f t="shared" si="13"/>
        <v>3.8984836431160588E-4</v>
      </c>
      <c r="E90" s="138">
        <f t="shared" si="14"/>
        <v>1.5332097251461896E-2</v>
      </c>
    </row>
    <row r="91" spans="1:5" ht="12" customHeight="1" thickBot="1">
      <c r="A91" s="134" t="s">
        <v>60</v>
      </c>
      <c r="B91" s="135">
        <v>1.866379</v>
      </c>
      <c r="C91" s="139">
        <v>9.6011670000000002</v>
      </c>
      <c r="D91" s="556">
        <f t="shared" si="13"/>
        <v>1.6496992953845834E-5</v>
      </c>
      <c r="E91" s="138">
        <f t="shared" si="14"/>
        <v>4.1442750909649115</v>
      </c>
    </row>
    <row r="93" spans="1:5" ht="12" customHeight="1" thickBot="1"/>
    <row r="94" spans="1:5" ht="12" customHeight="1" thickBot="1">
      <c r="A94" s="129" t="s">
        <v>350</v>
      </c>
      <c r="B94" s="130">
        <f>'02.2 PRODUCCION EMPRESAS'!B88</f>
        <v>3461788.6798</v>
      </c>
      <c r="C94" s="130">
        <f>SUM(C95)</f>
        <v>3776993.2799999998</v>
      </c>
      <c r="D94" s="268">
        <v>1</v>
      </c>
      <c r="E94" s="133">
        <f t="shared" ref="E94:E95" si="15">C94/B94-1</f>
        <v>9.105252496758709E-2</v>
      </c>
    </row>
    <row r="95" spans="1:5" ht="12" customHeight="1">
      <c r="A95" s="134" t="s">
        <v>63</v>
      </c>
      <c r="B95" s="135">
        <f>'02.1 PRODUCCION'!G37</f>
        <v>3461788.6798</v>
      </c>
      <c r="C95" s="145">
        <f>'02.1 PRODUCCION'!G36</f>
        <v>3776993.2799999998</v>
      </c>
      <c r="D95" s="269">
        <v>1</v>
      </c>
      <c r="E95" s="138">
        <f t="shared" si="15"/>
        <v>9.105252496758709E-2</v>
      </c>
    </row>
    <row r="96" spans="1:5" ht="12" customHeight="1" thickBot="1">
      <c r="D96" s="270"/>
    </row>
    <row r="97" spans="1:5" ht="12" customHeight="1" thickBot="1">
      <c r="A97" s="129" t="s">
        <v>351</v>
      </c>
      <c r="B97" s="130">
        <f>'02.2 PRODUCCION EMPRESAS'!B91</f>
        <v>7292.6228219999994</v>
      </c>
      <c r="C97" s="131">
        <f>SUM(C98:C99)</f>
        <v>7109.9116459999996</v>
      </c>
      <c r="D97" s="268">
        <v>1</v>
      </c>
      <c r="E97" s="133">
        <f t="shared" ref="E97:E98" si="16">C97/B97-1</f>
        <v>-2.5054247348266334E-2</v>
      </c>
    </row>
    <row r="98" spans="1:5" ht="12" customHeight="1">
      <c r="A98" s="134" t="s">
        <v>68</v>
      </c>
      <c r="B98" s="135">
        <f>'02.1 PRODUCCION'!H37</f>
        <v>7292.6228219999994</v>
      </c>
      <c r="C98" s="145">
        <f>'02.1 PRODUCCION'!H36</f>
        <v>7109.9116459999996</v>
      </c>
      <c r="D98" s="269">
        <v>1</v>
      </c>
      <c r="E98" s="138">
        <f t="shared" si="16"/>
        <v>-2.5054247348266334E-2</v>
      </c>
    </row>
    <row r="100" spans="1:5" ht="12" customHeight="1" thickBot="1"/>
    <row r="101" spans="1:5" ht="12" customHeight="1" thickBot="1">
      <c r="A101" s="129" t="s">
        <v>363</v>
      </c>
      <c r="B101" s="130">
        <f>SUM(B102:B107)</f>
        <v>10340.284198000001</v>
      </c>
      <c r="C101" s="131">
        <f>SUM(C102:C107)</f>
        <v>9722.592224</v>
      </c>
      <c r="D101" s="132">
        <v>1</v>
      </c>
      <c r="E101" s="133">
        <f t="shared" ref="E101:E106" si="17">C101/B101-1</f>
        <v>-5.9736460059721996E-2</v>
      </c>
    </row>
    <row r="102" spans="1:5" ht="12" customHeight="1">
      <c r="A102" s="134" t="s">
        <v>58</v>
      </c>
      <c r="B102" s="135">
        <v>3452.5166319999998</v>
      </c>
      <c r="C102" s="145">
        <v>4691.9950699999999</v>
      </c>
      <c r="D102" s="146">
        <f>C102/$C$101</f>
        <v>0.48258684123539769</v>
      </c>
      <c r="E102" s="138">
        <f t="shared" si="17"/>
        <v>0.35900723156892833</v>
      </c>
    </row>
    <row r="103" spans="1:5" ht="12" customHeight="1">
      <c r="A103" s="134" t="s">
        <v>61</v>
      </c>
      <c r="B103" s="135">
        <v>2843.0000770000001</v>
      </c>
      <c r="C103" s="136">
        <v>2062.0781649999999</v>
      </c>
      <c r="D103" s="137">
        <f t="shared" ref="D103:D107" si="18">C103/$C$101</f>
        <v>0.21209139676863198</v>
      </c>
      <c r="E103" s="138">
        <f t="shared" si="17"/>
        <v>-0.2746823393772283</v>
      </c>
    </row>
    <row r="104" spans="1:5" ht="12" customHeight="1">
      <c r="A104" s="134" t="s">
        <v>59</v>
      </c>
      <c r="B104" s="135">
        <v>1636.9091570000001</v>
      </c>
      <c r="C104" s="136">
        <v>1482.4675339999999</v>
      </c>
      <c r="D104" s="137">
        <f t="shared" si="18"/>
        <v>0.152476572075147</v>
      </c>
      <c r="E104" s="138">
        <f t="shared" si="17"/>
        <v>-9.4349538176601522E-2</v>
      </c>
    </row>
    <row r="105" spans="1:5" ht="12" customHeight="1">
      <c r="A105" s="134" t="s">
        <v>66</v>
      </c>
      <c r="B105" s="135">
        <v>427.23167999999998</v>
      </c>
      <c r="C105" s="136">
        <v>769.66137000000003</v>
      </c>
      <c r="D105" s="137">
        <f t="shared" si="18"/>
        <v>7.9162156785729243E-2</v>
      </c>
      <c r="E105" s="138">
        <f t="shared" si="17"/>
        <v>0.80150818871858953</v>
      </c>
    </row>
    <row r="106" spans="1:5" ht="12" customHeight="1">
      <c r="A106" s="134" t="s">
        <v>57</v>
      </c>
      <c r="B106" s="135">
        <v>1980.6266519999999</v>
      </c>
      <c r="C106" s="136">
        <v>508.964787</v>
      </c>
      <c r="D106" s="137">
        <f t="shared" si="18"/>
        <v>5.2348671555270197E-2</v>
      </c>
      <c r="E106" s="138">
        <f t="shared" si="17"/>
        <v>-0.74302840644598178</v>
      </c>
    </row>
    <row r="107" spans="1:5" ht="12" customHeight="1">
      <c r="A107" s="134" t="s">
        <v>60</v>
      </c>
      <c r="B107" s="135">
        <v>0</v>
      </c>
      <c r="C107" s="136">
        <v>207.425298</v>
      </c>
      <c r="D107" s="137">
        <f t="shared" si="18"/>
        <v>2.1334361579823879E-2</v>
      </c>
      <c r="E107" s="138" t="s">
        <v>159</v>
      </c>
    </row>
    <row r="108" spans="1:5" ht="12" customHeight="1">
      <c r="D108" s="128"/>
    </row>
    <row r="114" spans="1:5" ht="12" customHeight="1">
      <c r="A114" s="147" t="s">
        <v>7</v>
      </c>
      <c r="B114" s="148"/>
      <c r="C114" s="148"/>
      <c r="D114" s="148"/>
      <c r="E114" s="148"/>
    </row>
  </sheetData>
  <sortState ref="A78:C89">
    <sortCondition descending="1" ref="C78:C89"/>
  </sortState>
  <mergeCells count="1">
    <mergeCell ref="B5:D5"/>
  </mergeCells>
  <conditionalFormatting sqref="E10:E107">
    <cfRule type="cellIs" dxfId="14" priority="1" operator="greaterThan">
      <formula>1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0"/>
    <pageSetUpPr fitToPage="1"/>
  </sheetPr>
  <dimension ref="A1:AC96"/>
  <sheetViews>
    <sheetView zoomScaleNormal="100" workbookViewId="0">
      <pane xSplit="3" ySplit="5" topLeftCell="D6" activePane="bottomRight" state="frozen"/>
      <selection activeCell="B24" sqref="B24"/>
      <selection pane="topRight" activeCell="B24" sqref="B24"/>
      <selection pane="bottomLeft" activeCell="B24" sqref="B24"/>
      <selection pane="bottomRight"/>
    </sheetView>
  </sheetViews>
  <sheetFormatPr baseColWidth="10" defaultColWidth="11.5703125" defaultRowHeight="12"/>
  <cols>
    <col min="1" max="1" width="11" style="12" customWidth="1"/>
    <col min="2" max="2" width="7" style="12" customWidth="1"/>
    <col min="3" max="4" width="11.5703125" style="12" customWidth="1"/>
    <col min="5" max="13" width="7.5703125" style="12" customWidth="1"/>
    <col min="14" max="22" width="7" style="10" customWidth="1"/>
    <col min="23" max="23" width="9.28515625" style="10" customWidth="1"/>
    <col min="24" max="24" width="7" style="10" customWidth="1"/>
    <col min="25" max="25" width="8.140625" style="10" customWidth="1"/>
    <col min="26" max="27" width="8.28515625" style="10" customWidth="1"/>
    <col min="28" max="28" width="8.28515625" style="175" customWidth="1"/>
    <col min="29" max="16384" width="11.5703125" style="10"/>
  </cols>
  <sheetData>
    <row r="1" spans="1:28" ht="15">
      <c r="A1" s="1" t="s">
        <v>228</v>
      </c>
    </row>
    <row r="2" spans="1:28" ht="15">
      <c r="A2" s="15" t="s">
        <v>151</v>
      </c>
    </row>
    <row r="3" spans="1:28" s="70" customFormat="1" ht="15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AB3" s="176"/>
    </row>
    <row r="4" spans="1:28" ht="15" customHeight="1">
      <c r="F4" s="565" t="s">
        <v>213</v>
      </c>
      <c r="G4" s="565"/>
      <c r="H4" s="565"/>
      <c r="I4" s="565"/>
      <c r="J4" s="565"/>
      <c r="K4" s="565"/>
      <c r="L4" s="565"/>
      <c r="M4" s="319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565" t="s">
        <v>696</v>
      </c>
      <c r="AA4" s="565"/>
    </row>
    <row r="5" spans="1:28" ht="12.75" thickBot="1">
      <c r="A5" s="196" t="s">
        <v>226</v>
      </c>
      <c r="B5" s="197"/>
      <c r="C5" s="198" t="s">
        <v>227</v>
      </c>
      <c r="D5" s="198">
        <v>2007</v>
      </c>
      <c r="E5" s="198">
        <v>2008</v>
      </c>
      <c r="F5" s="198">
        <v>2009</v>
      </c>
      <c r="G5" s="198">
        <v>2010</v>
      </c>
      <c r="H5" s="198">
        <v>2011</v>
      </c>
      <c r="I5" s="198">
        <v>2012</v>
      </c>
      <c r="J5" s="198">
        <v>2013</v>
      </c>
      <c r="K5" s="198">
        <v>2014</v>
      </c>
      <c r="L5" s="198">
        <v>2015</v>
      </c>
      <c r="M5" s="198">
        <v>2016</v>
      </c>
      <c r="N5" s="198" t="s">
        <v>215</v>
      </c>
      <c r="O5" s="198" t="s">
        <v>218</v>
      </c>
      <c r="P5" s="198" t="s">
        <v>229</v>
      </c>
      <c r="Q5" s="198" t="s">
        <v>250</v>
      </c>
      <c r="R5" s="198" t="s">
        <v>251</v>
      </c>
      <c r="S5" s="198" t="s">
        <v>277</v>
      </c>
      <c r="T5" s="198" t="s">
        <v>278</v>
      </c>
      <c r="U5" s="198" t="s">
        <v>283</v>
      </c>
      <c r="V5" s="198" t="s">
        <v>284</v>
      </c>
      <c r="W5" s="198" t="s">
        <v>286</v>
      </c>
      <c r="X5" s="198" t="s">
        <v>290</v>
      </c>
      <c r="Y5" s="198" t="s">
        <v>291</v>
      </c>
      <c r="Z5" s="198">
        <v>2016</v>
      </c>
      <c r="AA5" s="198">
        <v>2017</v>
      </c>
      <c r="AB5" s="199" t="s">
        <v>219</v>
      </c>
    </row>
    <row r="6" spans="1:28" ht="12.75" thickBo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1"/>
      <c r="Z6" s="11"/>
    </row>
    <row r="7" spans="1:28">
      <c r="A7" s="13"/>
      <c r="B7" s="13"/>
      <c r="C7" s="13"/>
      <c r="D7" s="93"/>
      <c r="E7" s="26"/>
      <c r="F7" s="26"/>
      <c r="G7" s="26"/>
      <c r="H7" s="26"/>
      <c r="I7" s="26"/>
      <c r="J7" s="26"/>
      <c r="K7" s="26"/>
      <c r="L7" s="26"/>
      <c r="M7" s="26"/>
      <c r="N7" s="194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95"/>
      <c r="Z7" s="32"/>
      <c r="AA7" s="104"/>
      <c r="AB7" s="235"/>
    </row>
    <row r="8" spans="1:28">
      <c r="A8" s="12" t="s">
        <v>9</v>
      </c>
      <c r="B8" s="12" t="s">
        <v>10</v>
      </c>
      <c r="C8" s="12" t="s">
        <v>11</v>
      </c>
      <c r="D8" s="94">
        <v>7219.0687201917526</v>
      </c>
      <c r="E8" s="25">
        <v>7276.9520400628562</v>
      </c>
      <c r="F8" s="25">
        <v>5935.4024202705696</v>
      </c>
      <c r="G8" s="25">
        <v>8879.1470329311687</v>
      </c>
      <c r="H8" s="25">
        <v>10721.031282565797</v>
      </c>
      <c r="I8" s="25">
        <v>10730.942210401816</v>
      </c>
      <c r="J8" s="25">
        <v>9820.7478280872583</v>
      </c>
      <c r="K8" s="25">
        <v>8874.9060769625194</v>
      </c>
      <c r="L8" s="25">
        <v>8174.9932293081592</v>
      </c>
      <c r="M8" s="25">
        <v>10168.367285688868</v>
      </c>
      <c r="N8" s="212">
        <v>877.27793135868546</v>
      </c>
      <c r="O8" s="214">
        <v>1151.1896032639568</v>
      </c>
      <c r="P8" s="214">
        <v>1017.3495567839394</v>
      </c>
      <c r="Q8" s="214">
        <v>932.59457055145992</v>
      </c>
      <c r="R8" s="214"/>
      <c r="S8" s="214"/>
      <c r="T8" s="214"/>
      <c r="U8" s="214"/>
      <c r="V8" s="214"/>
      <c r="W8" s="214"/>
      <c r="X8" s="214"/>
      <c r="Y8" s="213"/>
      <c r="Z8" s="228">
        <v>2799.1823965723888</v>
      </c>
      <c r="AA8" s="215">
        <v>3978.4116619580418</v>
      </c>
      <c r="AB8" s="236">
        <f>AA8/Z8-1</f>
        <v>0.42127632226811107</v>
      </c>
    </row>
    <row r="9" spans="1:28">
      <c r="A9" s="49"/>
      <c r="B9" s="12" t="s">
        <v>12</v>
      </c>
      <c r="C9" s="12" t="s">
        <v>13</v>
      </c>
      <c r="D9" s="94">
        <v>1121.9424399999998</v>
      </c>
      <c r="E9" s="25">
        <v>1243.0921780000001</v>
      </c>
      <c r="F9" s="25">
        <v>1246.1711079999998</v>
      </c>
      <c r="G9" s="25">
        <v>1256.1313640000003</v>
      </c>
      <c r="H9" s="25">
        <v>1262.237985</v>
      </c>
      <c r="I9" s="25">
        <v>1405.5533140000002</v>
      </c>
      <c r="J9" s="25">
        <v>1403.9670750000002</v>
      </c>
      <c r="K9" s="25">
        <v>1402.417778</v>
      </c>
      <c r="L9" s="25">
        <v>1751.5973160000001</v>
      </c>
      <c r="M9" s="25">
        <v>2492.4748870000003</v>
      </c>
      <c r="N9" s="212">
        <v>187.35705999999999</v>
      </c>
      <c r="O9" s="214">
        <v>220.39220299999999</v>
      </c>
      <c r="P9" s="214">
        <v>192.59549999999999</v>
      </c>
      <c r="Q9" s="214">
        <v>198.84464400000002</v>
      </c>
      <c r="R9" s="214"/>
      <c r="S9" s="214"/>
      <c r="T9" s="214"/>
      <c r="U9" s="214"/>
      <c r="V9" s="214"/>
      <c r="W9" s="214"/>
      <c r="X9" s="214"/>
      <c r="Y9" s="213"/>
      <c r="Z9" s="228">
        <v>708.05645100000004</v>
      </c>
      <c r="AA9" s="215">
        <v>799.18940699999996</v>
      </c>
      <c r="AB9" s="236">
        <f t="shared" ref="AB9:AB42" si="0">AA9/Z9-1</f>
        <v>0.12870860207726564</v>
      </c>
    </row>
    <row r="10" spans="1:28">
      <c r="B10" s="12" t="s">
        <v>14</v>
      </c>
      <c r="C10" s="12" t="s">
        <v>15</v>
      </c>
      <c r="D10" s="94">
        <v>290.22858040415656</v>
      </c>
      <c r="E10" s="25">
        <v>271.70898466302566</v>
      </c>
      <c r="F10" s="25">
        <v>214.18226763318845</v>
      </c>
      <c r="G10" s="25">
        <v>320.71897813332839</v>
      </c>
      <c r="H10" s="25">
        <v>385.85798431802806</v>
      </c>
      <c r="I10" s="25">
        <v>346.33781999519397</v>
      </c>
      <c r="J10" s="25">
        <v>319.28933260710011</v>
      </c>
      <c r="K10" s="25">
        <v>287.8192267489498</v>
      </c>
      <c r="L10" s="25">
        <v>215.32391997181563</v>
      </c>
      <c r="M10" s="25">
        <v>185.04875777093758</v>
      </c>
      <c r="N10" s="212">
        <v>212.38942158554551</v>
      </c>
      <c r="O10" s="214">
        <v>236.92799171477853</v>
      </c>
      <c r="P10" s="214">
        <v>239.60165039166372</v>
      </c>
      <c r="Q10" s="214">
        <v>212.73783039666327</v>
      </c>
      <c r="R10" s="214"/>
      <c r="S10" s="214"/>
      <c r="T10" s="214"/>
      <c r="U10" s="214"/>
      <c r="V10" s="214"/>
      <c r="W10" s="214"/>
      <c r="X10" s="214"/>
      <c r="Y10" s="213"/>
      <c r="Z10" s="228">
        <v>179.32013408399123</v>
      </c>
      <c r="AA10" s="215">
        <v>225.80093764721121</v>
      </c>
      <c r="AB10" s="236">
        <f t="shared" si="0"/>
        <v>0.25920571496700395</v>
      </c>
    </row>
    <row r="11" spans="1:28">
      <c r="D11" s="94"/>
      <c r="E11" s="25"/>
      <c r="F11" s="25"/>
      <c r="G11" s="25"/>
      <c r="H11" s="25"/>
      <c r="I11" s="25"/>
      <c r="J11" s="25"/>
      <c r="K11" s="25"/>
      <c r="L11" s="25"/>
      <c r="M11" s="25"/>
      <c r="N11" s="212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3"/>
      <c r="Z11" s="216"/>
      <c r="AA11" s="215"/>
      <c r="AB11" s="236"/>
    </row>
    <row r="12" spans="1:28">
      <c r="A12" s="12" t="s">
        <v>16</v>
      </c>
      <c r="B12" s="12" t="s">
        <v>10</v>
      </c>
      <c r="C12" s="12" t="s">
        <v>11</v>
      </c>
      <c r="D12" s="94">
        <v>4187.4032129251573</v>
      </c>
      <c r="E12" s="25">
        <v>5586.0346055150185</v>
      </c>
      <c r="F12" s="25">
        <v>6790.9480920625147</v>
      </c>
      <c r="G12" s="25">
        <v>7744.6314899523886</v>
      </c>
      <c r="H12" s="25">
        <v>10235.353079840146</v>
      </c>
      <c r="I12" s="25">
        <v>10745.515758961699</v>
      </c>
      <c r="J12" s="25">
        <v>8536.2794900494937</v>
      </c>
      <c r="K12" s="25">
        <v>6729.0722178974011</v>
      </c>
      <c r="L12" s="25">
        <v>6536.8565620916115</v>
      </c>
      <c r="M12" s="25">
        <v>7266.6062404091153</v>
      </c>
      <c r="N12" s="212">
        <v>569.27633562586902</v>
      </c>
      <c r="O12" s="214">
        <v>601.65136102966164</v>
      </c>
      <c r="P12" s="214">
        <v>588.91525166564077</v>
      </c>
      <c r="Q12" s="214">
        <v>563.0513758806776</v>
      </c>
      <c r="R12" s="214"/>
      <c r="S12" s="214"/>
      <c r="T12" s="214"/>
      <c r="U12" s="214"/>
      <c r="V12" s="214"/>
      <c r="W12" s="214"/>
      <c r="X12" s="214"/>
      <c r="Y12" s="213"/>
      <c r="Z12" s="228">
        <v>2253.5046709231819</v>
      </c>
      <c r="AA12" s="215">
        <v>2322.8943242018495</v>
      </c>
      <c r="AB12" s="236">
        <f t="shared" si="0"/>
        <v>3.0791883493297201E-2</v>
      </c>
    </row>
    <row r="13" spans="1:28">
      <c r="A13" s="49"/>
      <c r="B13" s="12" t="s">
        <v>12</v>
      </c>
      <c r="C13" s="12" t="s">
        <v>17</v>
      </c>
      <c r="D13" s="94">
        <v>5967.3943619999991</v>
      </c>
      <c r="E13" s="25">
        <v>6417.683814</v>
      </c>
      <c r="F13" s="25">
        <v>6972.1969499999996</v>
      </c>
      <c r="G13" s="25">
        <v>6334.5532089999997</v>
      </c>
      <c r="H13" s="25">
        <v>6492.2497979999989</v>
      </c>
      <c r="I13" s="25">
        <v>6427.0524130000013</v>
      </c>
      <c r="J13" s="25">
        <v>6047.3659180000004</v>
      </c>
      <c r="K13" s="25">
        <v>5323.3804000000009</v>
      </c>
      <c r="L13" s="25">
        <v>5641.7128549999998</v>
      </c>
      <c r="M13" s="25">
        <v>5810.3506559999996</v>
      </c>
      <c r="N13" s="212">
        <v>477.93622299999998</v>
      </c>
      <c r="O13" s="214">
        <v>487.427548</v>
      </c>
      <c r="P13" s="214">
        <v>478.367616</v>
      </c>
      <c r="Q13" s="214">
        <v>444.60415699999999</v>
      </c>
      <c r="R13" s="214"/>
      <c r="S13" s="214"/>
      <c r="T13" s="214"/>
      <c r="U13" s="214"/>
      <c r="V13" s="214"/>
      <c r="W13" s="214"/>
      <c r="X13" s="214"/>
      <c r="Y13" s="213"/>
      <c r="Z13" s="228">
        <v>1880.9937649999999</v>
      </c>
      <c r="AA13" s="215">
        <v>1888.335544</v>
      </c>
      <c r="AB13" s="236">
        <f t="shared" si="0"/>
        <v>3.9031384030132621E-3</v>
      </c>
    </row>
    <row r="14" spans="1:28">
      <c r="B14" s="12" t="s">
        <v>14</v>
      </c>
      <c r="C14" s="12" t="s">
        <v>18</v>
      </c>
      <c r="D14" s="94">
        <v>697.40740391666668</v>
      </c>
      <c r="E14" s="25">
        <v>872.72369391666655</v>
      </c>
      <c r="F14" s="25">
        <v>973.62445291666654</v>
      </c>
      <c r="G14" s="25">
        <v>1225.2929394166665</v>
      </c>
      <c r="H14" s="25">
        <v>1569.5253051666666</v>
      </c>
      <c r="I14" s="25">
        <v>1669.8708749999998</v>
      </c>
      <c r="J14" s="25">
        <v>1410.99973475</v>
      </c>
      <c r="K14" s="25">
        <v>1266.0884009166668</v>
      </c>
      <c r="L14" s="25">
        <v>1160.0657712499999</v>
      </c>
      <c r="M14" s="25">
        <v>1250.6312735024569</v>
      </c>
      <c r="N14" s="212">
        <v>1191.113601</v>
      </c>
      <c r="O14" s="214">
        <v>1234.340085</v>
      </c>
      <c r="P14" s="214">
        <v>1231.0934769999999</v>
      </c>
      <c r="Q14" s="214">
        <v>1266.4105070000001</v>
      </c>
      <c r="R14" s="214"/>
      <c r="S14" s="214"/>
      <c r="T14" s="214"/>
      <c r="U14" s="214"/>
      <c r="V14" s="214"/>
      <c r="W14" s="214"/>
      <c r="X14" s="214"/>
      <c r="Y14" s="213"/>
      <c r="Z14" s="228">
        <v>1198.0394155762563</v>
      </c>
      <c r="AA14" s="215">
        <v>1230.1279460541944</v>
      </c>
      <c r="AB14" s="236">
        <f t="shared" si="0"/>
        <v>2.6784202640364407E-2</v>
      </c>
    </row>
    <row r="15" spans="1:28">
      <c r="D15" s="94"/>
      <c r="E15" s="25"/>
      <c r="F15" s="25"/>
      <c r="G15" s="25"/>
      <c r="H15" s="25"/>
      <c r="I15" s="25"/>
      <c r="J15" s="25"/>
      <c r="K15" s="25"/>
      <c r="L15" s="25"/>
      <c r="M15" s="25"/>
      <c r="N15" s="212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3"/>
      <c r="Z15" s="216"/>
      <c r="AA15" s="215"/>
      <c r="AB15" s="236"/>
    </row>
    <row r="16" spans="1:28">
      <c r="A16" s="12" t="s">
        <v>19</v>
      </c>
      <c r="B16" s="12" t="s">
        <v>10</v>
      </c>
      <c r="C16" s="12" t="s">
        <v>11</v>
      </c>
      <c r="D16" s="94">
        <v>2539.4072801646053</v>
      </c>
      <c r="E16" s="25">
        <v>1468.2951198311805</v>
      </c>
      <c r="F16" s="25">
        <v>1233.2203045912822</v>
      </c>
      <c r="G16" s="25">
        <v>1696.0733253334295</v>
      </c>
      <c r="H16" s="25">
        <v>1522.5406592484687</v>
      </c>
      <c r="I16" s="25">
        <v>1352.3374325660052</v>
      </c>
      <c r="J16" s="25">
        <v>1413.8433873410634</v>
      </c>
      <c r="K16" s="25">
        <v>1503.5472338862523</v>
      </c>
      <c r="L16" s="25">
        <v>1506.7224184186537</v>
      </c>
      <c r="M16" s="25">
        <v>1465.5124362924942</v>
      </c>
      <c r="N16" s="212">
        <v>140.90527317247125</v>
      </c>
      <c r="O16" s="214">
        <v>192.93146834337486</v>
      </c>
      <c r="P16" s="214">
        <v>174.32871532707574</v>
      </c>
      <c r="Q16" s="214">
        <v>121.59559148982768</v>
      </c>
      <c r="R16" s="214"/>
      <c r="S16" s="214"/>
      <c r="T16" s="214"/>
      <c r="U16" s="214"/>
      <c r="V16" s="214"/>
      <c r="W16" s="214"/>
      <c r="X16" s="214"/>
      <c r="Y16" s="213"/>
      <c r="Z16" s="228">
        <v>391.80284421953331</v>
      </c>
      <c r="AA16" s="215">
        <v>629.76104833274962</v>
      </c>
      <c r="AB16" s="236">
        <f t="shared" si="0"/>
        <v>0.60734169652909564</v>
      </c>
    </row>
    <row r="17" spans="1:28">
      <c r="A17" s="49"/>
      <c r="B17" s="12" t="s">
        <v>12</v>
      </c>
      <c r="C17" s="12" t="s">
        <v>20</v>
      </c>
      <c r="D17" s="94">
        <v>1272.656301</v>
      </c>
      <c r="E17" s="25">
        <v>1457.1284639999999</v>
      </c>
      <c r="F17" s="25">
        <v>1372.5174649999999</v>
      </c>
      <c r="G17" s="25">
        <v>1314.0726309999998</v>
      </c>
      <c r="H17" s="25">
        <v>1007.2882920000002</v>
      </c>
      <c r="I17" s="25">
        <v>1016.2970770000001</v>
      </c>
      <c r="J17" s="25">
        <v>1079.006396</v>
      </c>
      <c r="K17" s="25">
        <v>1149.2442489999999</v>
      </c>
      <c r="L17" s="25">
        <v>1217.306257</v>
      </c>
      <c r="M17" s="25">
        <v>1113.5895599999999</v>
      </c>
      <c r="N17" s="212">
        <v>91.795159999999996</v>
      </c>
      <c r="O17" s="214">
        <v>110.88611800000001</v>
      </c>
      <c r="P17" s="214">
        <v>97.220105000000004</v>
      </c>
      <c r="Q17" s="214">
        <v>70.558442999999997</v>
      </c>
      <c r="R17" s="214"/>
      <c r="S17" s="214"/>
      <c r="T17" s="214"/>
      <c r="U17" s="214"/>
      <c r="V17" s="214"/>
      <c r="W17" s="214"/>
      <c r="X17" s="214"/>
      <c r="Y17" s="213"/>
      <c r="Z17" s="228">
        <v>355.74129599999998</v>
      </c>
      <c r="AA17" s="215">
        <v>370.45982600000002</v>
      </c>
      <c r="AB17" s="236">
        <f t="shared" si="0"/>
        <v>4.1374251922666971E-2</v>
      </c>
    </row>
    <row r="18" spans="1:28">
      <c r="B18" s="12" t="s">
        <v>14</v>
      </c>
      <c r="C18" s="12" t="s">
        <v>21</v>
      </c>
      <c r="D18" s="94">
        <v>91.125768792814583</v>
      </c>
      <c r="E18" s="25">
        <v>47.179298830636277</v>
      </c>
      <c r="F18" s="25">
        <v>38.911218420424966</v>
      </c>
      <c r="G18" s="25">
        <v>58.560190465615136</v>
      </c>
      <c r="H18" s="25">
        <v>68.605162310181399</v>
      </c>
      <c r="I18" s="25">
        <v>60.456806100984409</v>
      </c>
      <c r="J18" s="25">
        <v>60.195550043938646</v>
      </c>
      <c r="K18" s="25">
        <v>59.377213168564538</v>
      </c>
      <c r="L18" s="25">
        <v>56.735348339658515</v>
      </c>
      <c r="M18" s="25">
        <v>59.693919835454139</v>
      </c>
      <c r="N18" s="212">
        <v>69.626281825532701</v>
      </c>
      <c r="O18" s="214">
        <v>78.920827558821529</v>
      </c>
      <c r="P18" s="214">
        <v>81.335208539698243</v>
      </c>
      <c r="Q18" s="214">
        <v>78.169004558990594</v>
      </c>
      <c r="R18" s="214"/>
      <c r="S18" s="214"/>
      <c r="T18" s="214"/>
      <c r="U18" s="214"/>
      <c r="V18" s="214"/>
      <c r="W18" s="214"/>
      <c r="X18" s="214"/>
      <c r="Y18" s="213"/>
      <c r="Z18" s="228">
        <v>49.957309618132982</v>
      </c>
      <c r="AA18" s="215">
        <v>77.108173788036183</v>
      </c>
      <c r="AB18" s="236">
        <f t="shared" si="0"/>
        <v>0.54348131189291005</v>
      </c>
    </row>
    <row r="19" spans="1:28">
      <c r="D19" s="94"/>
      <c r="E19" s="25"/>
      <c r="F19" s="25"/>
      <c r="G19" s="25"/>
      <c r="H19" s="25"/>
      <c r="I19" s="25"/>
      <c r="J19" s="25"/>
      <c r="K19" s="25"/>
      <c r="L19" s="25"/>
      <c r="M19" s="27"/>
      <c r="N19" s="212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3"/>
      <c r="Z19" s="216"/>
      <c r="AA19" s="215"/>
      <c r="AB19" s="236"/>
    </row>
    <row r="20" spans="1:28">
      <c r="A20" s="12" t="s">
        <v>22</v>
      </c>
      <c r="B20" s="12" t="s">
        <v>10</v>
      </c>
      <c r="C20" s="12" t="s">
        <v>11</v>
      </c>
      <c r="D20" s="94">
        <v>538.233568262017</v>
      </c>
      <c r="E20" s="25">
        <v>595.44527574297194</v>
      </c>
      <c r="F20" s="25">
        <v>214.08494407795499</v>
      </c>
      <c r="G20" s="25">
        <v>118.20838016762899</v>
      </c>
      <c r="H20" s="25">
        <v>219.44862884541499</v>
      </c>
      <c r="I20" s="25">
        <v>209.569981439488</v>
      </c>
      <c r="J20" s="25">
        <v>479.2518043975009</v>
      </c>
      <c r="K20" s="25">
        <v>331.07695278478701</v>
      </c>
      <c r="L20" s="25">
        <v>137.79635297098301</v>
      </c>
      <c r="M20" s="27">
        <v>119.93616545629101</v>
      </c>
      <c r="N20" s="208">
        <v>7.5365141339719992</v>
      </c>
      <c r="O20" s="210">
        <v>9.0493834877759998</v>
      </c>
      <c r="P20" s="210">
        <v>8.8712224799399984</v>
      </c>
      <c r="Q20" s="210">
        <v>7.9872067438679997</v>
      </c>
      <c r="R20" s="210"/>
      <c r="S20" s="210"/>
      <c r="T20" s="210"/>
      <c r="U20" s="210"/>
      <c r="V20" s="210"/>
      <c r="W20" s="210"/>
      <c r="X20" s="210"/>
      <c r="Y20" s="209"/>
      <c r="Z20" s="228">
        <v>36.278631969460001</v>
      </c>
      <c r="AA20" s="215">
        <v>33.444326845555999</v>
      </c>
      <c r="AB20" s="236">
        <f t="shared" si="0"/>
        <v>-7.812601991965884E-2</v>
      </c>
    </row>
    <row r="21" spans="1:28">
      <c r="A21" s="49"/>
      <c r="B21" s="12" t="s">
        <v>12</v>
      </c>
      <c r="C21" s="12" t="s">
        <v>23</v>
      </c>
      <c r="D21" s="94">
        <v>40.359925000000004</v>
      </c>
      <c r="E21" s="25">
        <v>39.690534</v>
      </c>
      <c r="F21" s="25">
        <v>16.249386999999999</v>
      </c>
      <c r="G21" s="25">
        <v>6.1603579999999996</v>
      </c>
      <c r="H21" s="25">
        <v>6.5176329999999991</v>
      </c>
      <c r="I21" s="25">
        <v>6.9355449999999994</v>
      </c>
      <c r="J21" s="25">
        <v>21.204193999999998</v>
      </c>
      <c r="K21" s="25">
        <v>17.144968000000002</v>
      </c>
      <c r="L21" s="25">
        <v>8.9059539999999995</v>
      </c>
      <c r="M21" s="27">
        <v>7.1238969999999986</v>
      </c>
      <c r="N21" s="210">
        <v>0.44813199999999997</v>
      </c>
      <c r="O21" s="210">
        <v>0.52719899999999997</v>
      </c>
      <c r="P21" s="210">
        <v>0.50540399999999996</v>
      </c>
      <c r="Q21" s="210">
        <v>0.44653199999999998</v>
      </c>
      <c r="R21" s="210"/>
      <c r="S21" s="210"/>
      <c r="T21" s="210"/>
      <c r="U21" s="210"/>
      <c r="V21" s="210"/>
      <c r="W21" s="210"/>
      <c r="X21" s="210"/>
      <c r="Y21" s="209"/>
      <c r="Z21" s="227">
        <v>2.441827</v>
      </c>
      <c r="AA21" s="211">
        <v>1.9272669999999998</v>
      </c>
      <c r="AB21" s="236">
        <f t="shared" si="0"/>
        <v>-0.21072745939822934</v>
      </c>
    </row>
    <row r="22" spans="1:28">
      <c r="B22" s="12" t="s">
        <v>14</v>
      </c>
      <c r="C22" s="12" t="s">
        <v>24</v>
      </c>
      <c r="D22" s="94">
        <v>13.351383499999999</v>
      </c>
      <c r="E22" s="25">
        <v>14.948861916666667</v>
      </c>
      <c r="F22" s="25">
        <v>14.163348416666665</v>
      </c>
      <c r="G22" s="25">
        <v>19.073053666666667</v>
      </c>
      <c r="H22" s="25">
        <v>33.680962833333332</v>
      </c>
      <c r="I22" s="25">
        <v>30.22969075</v>
      </c>
      <c r="J22" s="25">
        <v>23.909081333333337</v>
      </c>
      <c r="K22" s="25">
        <v>18.864849666666668</v>
      </c>
      <c r="L22" s="25">
        <v>15.475446250000003</v>
      </c>
      <c r="M22" s="27">
        <v>16.835752321558136</v>
      </c>
      <c r="N22" s="210">
        <v>16.817620999999999</v>
      </c>
      <c r="O22" s="210">
        <v>17.165023999999999</v>
      </c>
      <c r="P22" s="210">
        <v>17.552734999999998</v>
      </c>
      <c r="Q22" s="210">
        <v>17.887198999999999</v>
      </c>
      <c r="R22" s="210"/>
      <c r="S22" s="210"/>
      <c r="T22" s="210"/>
      <c r="U22" s="210"/>
      <c r="V22" s="210"/>
      <c r="W22" s="210"/>
      <c r="X22" s="210"/>
      <c r="Y22" s="209"/>
      <c r="Z22" s="227">
        <v>14.857167182384337</v>
      </c>
      <c r="AA22" s="211">
        <v>17.353240026190456</v>
      </c>
      <c r="AB22" s="236">
        <f t="shared" si="0"/>
        <v>0.16800462787856563</v>
      </c>
    </row>
    <row r="23" spans="1:28">
      <c r="D23" s="94"/>
      <c r="E23" s="25"/>
      <c r="F23" s="25"/>
      <c r="G23" s="25"/>
      <c r="H23" s="25"/>
      <c r="I23" s="25"/>
      <c r="J23" s="25"/>
      <c r="K23" s="25"/>
      <c r="L23" s="25"/>
      <c r="M23" s="27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3"/>
      <c r="Z23" s="216"/>
      <c r="AA23" s="215"/>
      <c r="AB23" s="236"/>
    </row>
    <row r="24" spans="1:28">
      <c r="A24" s="12" t="s">
        <v>25</v>
      </c>
      <c r="B24" s="12" t="s">
        <v>10</v>
      </c>
      <c r="C24" s="12" t="s">
        <v>11</v>
      </c>
      <c r="D24" s="94">
        <v>1032.9556582579808</v>
      </c>
      <c r="E24" s="25">
        <v>1135.6647188208904</v>
      </c>
      <c r="F24" s="25">
        <v>1115.8065786717914</v>
      </c>
      <c r="G24" s="25">
        <v>1578.8088600715344</v>
      </c>
      <c r="H24" s="25">
        <v>2426.735952128829</v>
      </c>
      <c r="I24" s="25">
        <v>2575.3341204307012</v>
      </c>
      <c r="J24" s="25">
        <v>1776.0595258877415</v>
      </c>
      <c r="K24" s="25">
        <v>1522.5135211197114</v>
      </c>
      <c r="L24" s="25">
        <v>1541.6724338588276</v>
      </c>
      <c r="M24" s="27">
        <v>1655.9292457940699</v>
      </c>
      <c r="N24" s="214">
        <v>99.361766696043375</v>
      </c>
      <c r="O24" s="214">
        <v>156.49080376704438</v>
      </c>
      <c r="P24" s="214">
        <v>79.020241572995104</v>
      </c>
      <c r="Q24" s="214">
        <v>114.85748907771986</v>
      </c>
      <c r="R24" s="214"/>
      <c r="S24" s="214"/>
      <c r="T24" s="214"/>
      <c r="U24" s="214"/>
      <c r="V24" s="214"/>
      <c r="W24" s="214"/>
      <c r="X24" s="214"/>
      <c r="Y24" s="213"/>
      <c r="Z24" s="228">
        <v>448.63721474239708</v>
      </c>
      <c r="AA24" s="215">
        <v>449.73030111380274</v>
      </c>
      <c r="AB24" s="236">
        <f t="shared" si="0"/>
        <v>2.4364594275427809E-3</v>
      </c>
    </row>
    <row r="25" spans="1:28">
      <c r="A25" s="49"/>
      <c r="B25" s="12" t="s">
        <v>12</v>
      </c>
      <c r="C25" s="12" t="s">
        <v>20</v>
      </c>
      <c r="D25" s="94">
        <v>416.63830099999996</v>
      </c>
      <c r="E25" s="25">
        <v>524.99695399999996</v>
      </c>
      <c r="F25" s="25">
        <v>681.50997000000007</v>
      </c>
      <c r="G25" s="25">
        <v>769.96655399999997</v>
      </c>
      <c r="H25" s="25">
        <v>987.66261499999996</v>
      </c>
      <c r="I25" s="25">
        <v>1169.6602899999998</v>
      </c>
      <c r="J25" s="25">
        <v>855.15530999999999</v>
      </c>
      <c r="K25" s="25">
        <v>771.45482600000003</v>
      </c>
      <c r="L25" s="25">
        <v>934.00496799999996</v>
      </c>
      <c r="M25" s="27">
        <v>941.4404310000001</v>
      </c>
      <c r="N25" s="210">
        <v>51.935699000000007</v>
      </c>
      <c r="O25" s="210">
        <v>78.210219999999993</v>
      </c>
      <c r="P25" s="210">
        <v>40.204238000000004</v>
      </c>
      <c r="Q25" s="210">
        <v>58.485568999999998</v>
      </c>
      <c r="R25" s="210"/>
      <c r="S25" s="210"/>
      <c r="T25" s="210"/>
      <c r="U25" s="210"/>
      <c r="V25" s="210"/>
      <c r="W25" s="210"/>
      <c r="X25" s="210"/>
      <c r="Y25" s="209"/>
      <c r="Z25" s="228">
        <v>273.460171</v>
      </c>
      <c r="AA25" s="215">
        <v>228.83572599999999</v>
      </c>
      <c r="AB25" s="236">
        <f t="shared" si="0"/>
        <v>-0.16318444048658187</v>
      </c>
    </row>
    <row r="26" spans="1:28">
      <c r="B26" s="12" t="s">
        <v>14</v>
      </c>
      <c r="C26" s="12" t="s">
        <v>21</v>
      </c>
      <c r="D26" s="94">
        <v>114.71432095894141</v>
      </c>
      <c r="E26" s="25">
        <v>100.20320343604413</v>
      </c>
      <c r="F26" s="25">
        <v>72.089295361518609</v>
      </c>
      <c r="G26" s="25">
        <v>92.382053407846414</v>
      </c>
      <c r="H26" s="25">
        <v>112.60864159269941</v>
      </c>
      <c r="I26" s="25">
        <v>100.21019140710636</v>
      </c>
      <c r="J26" s="25">
        <v>95.71337177118636</v>
      </c>
      <c r="K26" s="25">
        <v>89.760157366297094</v>
      </c>
      <c r="L26" s="25">
        <v>75.174206146126849</v>
      </c>
      <c r="M26" s="27">
        <v>79.783791562277244</v>
      </c>
      <c r="N26" s="210">
        <v>86.779883800245727</v>
      </c>
      <c r="O26" s="210">
        <v>90.759282564220641</v>
      </c>
      <c r="P26" s="210">
        <v>89.152239754096016</v>
      </c>
      <c r="Q26" s="210">
        <v>89.07920633038907</v>
      </c>
      <c r="R26" s="210"/>
      <c r="S26" s="210"/>
      <c r="T26" s="210"/>
      <c r="U26" s="210"/>
      <c r="V26" s="210"/>
      <c r="W26" s="210"/>
      <c r="X26" s="210"/>
      <c r="Y26" s="209"/>
      <c r="Z26" s="227">
        <v>74.416108481553906</v>
      </c>
      <c r="AA26" s="211">
        <v>89.144399219824365</v>
      </c>
      <c r="AB26" s="236">
        <f t="shared" si="0"/>
        <v>0.19791804541783153</v>
      </c>
    </row>
    <row r="27" spans="1:28">
      <c r="D27" s="94"/>
      <c r="E27" s="25"/>
      <c r="F27" s="25"/>
      <c r="G27" s="25"/>
      <c r="H27" s="25"/>
      <c r="I27" s="25"/>
      <c r="J27" s="25"/>
      <c r="K27" s="25"/>
      <c r="L27" s="25"/>
      <c r="M27" s="27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3"/>
      <c r="Z27" s="216"/>
      <c r="AA27" s="215"/>
      <c r="AB27" s="236"/>
    </row>
    <row r="28" spans="1:28">
      <c r="A28" s="12" t="s">
        <v>27</v>
      </c>
      <c r="B28" s="12" t="s">
        <v>10</v>
      </c>
      <c r="C28" s="12" t="s">
        <v>11</v>
      </c>
      <c r="D28" s="94">
        <v>285.41642566243098</v>
      </c>
      <c r="E28" s="25">
        <v>385.08789704585701</v>
      </c>
      <c r="F28" s="25">
        <v>297.68320635250899</v>
      </c>
      <c r="G28" s="25">
        <v>523.27650585695505</v>
      </c>
      <c r="H28" s="25">
        <v>1030.072291616872</v>
      </c>
      <c r="I28" s="25">
        <v>844.8284799506572</v>
      </c>
      <c r="J28" s="25">
        <v>856.80847467289618</v>
      </c>
      <c r="K28" s="25">
        <v>646.70480025804579</v>
      </c>
      <c r="L28" s="25">
        <v>350.00259655641497</v>
      </c>
      <c r="M28" s="27">
        <v>344.26226528241506</v>
      </c>
      <c r="N28" s="210">
        <v>66.769689257564991</v>
      </c>
      <c r="O28" s="210">
        <v>32.514615547974003</v>
      </c>
      <c r="P28" s="210">
        <v>54.889995852147003</v>
      </c>
      <c r="Q28" s="210">
        <v>56.789979484089002</v>
      </c>
      <c r="R28" s="210"/>
      <c r="S28" s="210"/>
      <c r="T28" s="210"/>
      <c r="U28" s="210"/>
      <c r="V28" s="210"/>
      <c r="W28" s="210"/>
      <c r="X28" s="210"/>
      <c r="Y28" s="209"/>
      <c r="Z28" s="227">
        <v>105.317615549268</v>
      </c>
      <c r="AA28" s="211">
        <v>210.96428014177499</v>
      </c>
      <c r="AB28" s="236">
        <f t="shared" si="0"/>
        <v>1.0031243495356676</v>
      </c>
    </row>
    <row r="29" spans="1:28">
      <c r="A29" s="49"/>
      <c r="B29" s="12" t="s">
        <v>12</v>
      </c>
      <c r="C29" s="12" t="s">
        <v>20</v>
      </c>
      <c r="D29" s="94">
        <v>7.1777029999999993</v>
      </c>
      <c r="E29" s="25">
        <v>6.8411140000000001</v>
      </c>
      <c r="F29" s="25">
        <v>6.7791249999999996</v>
      </c>
      <c r="G29" s="25">
        <v>7.959607000000001</v>
      </c>
      <c r="H29" s="25">
        <v>9.2557340000000003</v>
      </c>
      <c r="I29" s="25">
        <v>9.7848829999999989</v>
      </c>
      <c r="J29" s="25">
        <v>10.373199999999999</v>
      </c>
      <c r="K29" s="25">
        <v>11.368120999999999</v>
      </c>
      <c r="L29" s="25">
        <v>11.646831000000001</v>
      </c>
      <c r="M29" s="27">
        <v>19.371681000000002</v>
      </c>
      <c r="N29" s="210">
        <v>1.3887149999999999</v>
      </c>
      <c r="O29" s="210">
        <v>0.74816900000000008</v>
      </c>
      <c r="P29" s="210">
        <v>1.2708390000000001</v>
      </c>
      <c r="Q29" s="210">
        <v>1.45044</v>
      </c>
      <c r="R29" s="210"/>
      <c r="S29" s="210"/>
      <c r="T29" s="210"/>
      <c r="U29" s="210"/>
      <c r="V29" s="210"/>
      <c r="W29" s="210"/>
      <c r="X29" s="210"/>
      <c r="Y29" s="209"/>
      <c r="Z29" s="227">
        <v>3.8802180000000002</v>
      </c>
      <c r="AA29" s="211">
        <v>4.8581630000000002</v>
      </c>
      <c r="AB29" s="236">
        <f t="shared" si="0"/>
        <v>0.2520335197661574</v>
      </c>
    </row>
    <row r="30" spans="1:28">
      <c r="B30" s="12" t="s">
        <v>14</v>
      </c>
      <c r="C30" s="12" t="s">
        <v>28</v>
      </c>
      <c r="D30" s="94">
        <v>39.19748633826304</v>
      </c>
      <c r="E30" s="25">
        <v>55.829632338133472</v>
      </c>
      <c r="F30" s="25">
        <v>44.72935917880438</v>
      </c>
      <c r="G30" s="25">
        <v>65.32336672080416</v>
      </c>
      <c r="H30" s="25">
        <v>113.09592104471501</v>
      </c>
      <c r="I30" s="25">
        <v>88.178737441352482</v>
      </c>
      <c r="J30" s="25">
        <v>82.404491858548326</v>
      </c>
      <c r="K30" s="25">
        <v>56.288874678169215</v>
      </c>
      <c r="L30" s="25">
        <v>30.894777492697656</v>
      </c>
      <c r="M30" s="27">
        <v>806.09801911883301</v>
      </c>
      <c r="N30" s="210">
        <v>48.080195905974222</v>
      </c>
      <c r="O30" s="210">
        <v>43.458918436842474</v>
      </c>
      <c r="P30" s="210">
        <v>43.191935290109136</v>
      </c>
      <c r="Q30" s="210">
        <v>39.153621993387524</v>
      </c>
      <c r="R30" s="210"/>
      <c r="S30" s="210"/>
      <c r="T30" s="210"/>
      <c r="U30" s="210"/>
      <c r="V30" s="210"/>
      <c r="W30" s="210"/>
      <c r="X30" s="210"/>
      <c r="Y30" s="209"/>
      <c r="Z30" s="227">
        <v>27.142190348394855</v>
      </c>
      <c r="AA30" s="211">
        <v>43.424701917530349</v>
      </c>
      <c r="AB30" s="236">
        <f t="shared" si="0"/>
        <v>0.59989674230909729</v>
      </c>
    </row>
    <row r="31" spans="1:28">
      <c r="D31" s="94"/>
      <c r="E31" s="25"/>
      <c r="F31" s="25"/>
      <c r="G31" s="25"/>
      <c r="H31" s="25"/>
      <c r="I31" s="25"/>
      <c r="J31" s="25"/>
      <c r="K31" s="25"/>
      <c r="L31" s="25"/>
      <c r="M31" s="27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3"/>
      <c r="Z31" s="216"/>
      <c r="AA31" s="215"/>
      <c r="AB31" s="236"/>
    </row>
    <row r="32" spans="1:28">
      <c r="A32" s="12" t="s">
        <v>26</v>
      </c>
      <c r="B32" s="12" t="s">
        <v>10</v>
      </c>
      <c r="C32" s="12" t="s">
        <v>11</v>
      </c>
      <c r="D32" s="94">
        <v>595.09949347270776</v>
      </c>
      <c r="E32" s="25">
        <v>662.76975228062634</v>
      </c>
      <c r="F32" s="25">
        <v>591.21348325130839</v>
      </c>
      <c r="G32" s="25">
        <v>841.62143845581932</v>
      </c>
      <c r="H32" s="25">
        <v>775.59494796720764</v>
      </c>
      <c r="I32" s="25">
        <v>558.25922602627895</v>
      </c>
      <c r="J32" s="25">
        <v>527.71235375709966</v>
      </c>
      <c r="K32" s="25">
        <v>539.5582164992918</v>
      </c>
      <c r="L32" s="25">
        <v>341.685340655076</v>
      </c>
      <c r="M32" s="27">
        <v>343.75473560885104</v>
      </c>
      <c r="N32" s="210">
        <v>27.353139893823393</v>
      </c>
      <c r="O32" s="210">
        <v>27.810328453472</v>
      </c>
      <c r="P32" s="210">
        <v>35.308213501116761</v>
      </c>
      <c r="Q32" s="210">
        <v>34.129454632682446</v>
      </c>
      <c r="R32" s="210"/>
      <c r="S32" s="210"/>
      <c r="T32" s="210"/>
      <c r="U32" s="210"/>
      <c r="V32" s="210"/>
      <c r="W32" s="210"/>
      <c r="X32" s="210"/>
      <c r="Y32" s="209"/>
      <c r="Z32" s="227">
        <v>97.108043280080011</v>
      </c>
      <c r="AA32" s="211">
        <v>124.60113648109458</v>
      </c>
      <c r="AB32" s="236">
        <f>AA32/Z32-1</f>
        <v>0.28311859936996897</v>
      </c>
    </row>
    <row r="33" spans="1:28">
      <c r="A33" s="49"/>
      <c r="B33" s="12" t="s">
        <v>12</v>
      </c>
      <c r="C33" s="12" t="s">
        <v>20</v>
      </c>
      <c r="D33" s="94">
        <v>41.111622999999994</v>
      </c>
      <c r="E33" s="25">
        <v>38.263483999999998</v>
      </c>
      <c r="F33" s="25">
        <v>37.071149999999996</v>
      </c>
      <c r="G33" s="25">
        <v>39.02278900000001</v>
      </c>
      <c r="H33" s="25">
        <v>31.899958000000002</v>
      </c>
      <c r="I33" s="25">
        <v>25.545801000000001</v>
      </c>
      <c r="J33" s="25">
        <v>23.824697999999998</v>
      </c>
      <c r="K33" s="25">
        <v>24.640213999999997</v>
      </c>
      <c r="L33" s="25">
        <v>20.111056000000001</v>
      </c>
      <c r="M33" s="27">
        <v>11.359424000000001</v>
      </c>
      <c r="N33" s="210">
        <v>1.31603</v>
      </c>
      <c r="O33" s="210">
        <v>1.4013199999999999</v>
      </c>
      <c r="P33" s="210">
        <v>1.811407</v>
      </c>
      <c r="Q33" s="210">
        <v>1.7588790000000001</v>
      </c>
      <c r="R33" s="210"/>
      <c r="S33" s="210"/>
      <c r="T33" s="210"/>
      <c r="U33" s="210"/>
      <c r="V33" s="210"/>
      <c r="W33" s="210"/>
      <c r="X33" s="210"/>
      <c r="Y33" s="209"/>
      <c r="Z33" s="227">
        <v>6.1830119999999997</v>
      </c>
      <c r="AA33" s="211">
        <v>6.287636</v>
      </c>
      <c r="AB33" s="236">
        <f>AA33/Z33-1</f>
        <v>1.6921202805364244E-2</v>
      </c>
    </row>
    <row r="34" spans="1:28">
      <c r="B34" s="12" t="s">
        <v>14</v>
      </c>
      <c r="C34" s="12" t="s">
        <v>21</v>
      </c>
      <c r="D34" s="94">
        <v>655.87879983333335</v>
      </c>
      <c r="E34" s="25">
        <v>815.13743308333324</v>
      </c>
      <c r="F34" s="25">
        <v>730.37841925000009</v>
      </c>
      <c r="G34" s="25">
        <v>986.36481341666683</v>
      </c>
      <c r="H34" s="25">
        <v>1102.8199075</v>
      </c>
      <c r="I34" s="25">
        <v>993.85511075000011</v>
      </c>
      <c r="J34" s="25">
        <v>1008.0133165833332</v>
      </c>
      <c r="K34" s="25">
        <v>990.55228941666667</v>
      </c>
      <c r="L34" s="25">
        <v>770.33709941666666</v>
      </c>
      <c r="M34" s="27">
        <v>30.261634358295897</v>
      </c>
      <c r="N34" s="214">
        <v>942.77300300000002</v>
      </c>
      <c r="O34" s="214">
        <v>900.19073400000002</v>
      </c>
      <c r="P34" s="214">
        <v>884.14896499999998</v>
      </c>
      <c r="Q34" s="214">
        <v>880.15492900000004</v>
      </c>
      <c r="R34" s="214"/>
      <c r="S34" s="214"/>
      <c r="T34" s="214"/>
      <c r="U34" s="214"/>
      <c r="V34" s="214"/>
      <c r="W34" s="214"/>
      <c r="X34" s="214"/>
      <c r="Y34" s="213"/>
      <c r="Z34" s="228">
        <v>712.39498641558623</v>
      </c>
      <c r="AA34" s="215">
        <v>898.87717420590423</v>
      </c>
      <c r="AB34" s="236">
        <f>AA34/Z34-1</f>
        <v>0.26176796769528465</v>
      </c>
    </row>
    <row r="35" spans="1:28">
      <c r="D35" s="94"/>
      <c r="E35" s="25"/>
      <c r="F35" s="25"/>
      <c r="G35" s="25"/>
      <c r="H35" s="25"/>
      <c r="I35" s="25"/>
      <c r="J35" s="25"/>
      <c r="K35" s="25"/>
      <c r="L35" s="25"/>
      <c r="M35" s="27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3"/>
      <c r="Z35" s="216"/>
      <c r="AA35" s="215"/>
      <c r="AB35" s="236"/>
    </row>
    <row r="36" spans="1:28">
      <c r="A36" s="12" t="s">
        <v>29</v>
      </c>
      <c r="B36" s="12" t="s">
        <v>10</v>
      </c>
      <c r="C36" s="12" t="s">
        <v>11</v>
      </c>
      <c r="D36" s="94">
        <v>991.16764057624141</v>
      </c>
      <c r="E36" s="25">
        <v>943.09487178572181</v>
      </c>
      <c r="F36" s="25">
        <v>275.96500791530212</v>
      </c>
      <c r="G36" s="25">
        <v>491.9356947636328</v>
      </c>
      <c r="H36" s="25">
        <v>563.68947023926762</v>
      </c>
      <c r="I36" s="25">
        <v>428.26749069318208</v>
      </c>
      <c r="J36" s="25">
        <v>355.52074602744028</v>
      </c>
      <c r="K36" s="25">
        <v>360.16193124196127</v>
      </c>
      <c r="L36" s="25">
        <v>219.63469285986599</v>
      </c>
      <c r="M36" s="27">
        <v>272.67154160154439</v>
      </c>
      <c r="N36" s="214">
        <v>19.184964352212127</v>
      </c>
      <c r="O36" s="214">
        <v>23.393300919776348</v>
      </c>
      <c r="P36" s="214">
        <v>27.712650396795379</v>
      </c>
      <c r="Q36" s="214">
        <v>21.769065244547917</v>
      </c>
      <c r="R36" s="214"/>
      <c r="S36" s="214"/>
      <c r="T36" s="214"/>
      <c r="U36" s="214"/>
      <c r="V36" s="214"/>
      <c r="W36" s="214"/>
      <c r="X36" s="214"/>
      <c r="Y36" s="213"/>
      <c r="Z36" s="228">
        <v>65.420220641457519</v>
      </c>
      <c r="AA36" s="215">
        <v>92.059980913331771</v>
      </c>
      <c r="AB36" s="236">
        <f t="shared" si="0"/>
        <v>0.40720988114479617</v>
      </c>
    </row>
    <row r="37" spans="1:28">
      <c r="A37" s="49"/>
      <c r="B37" s="12" t="s">
        <v>12</v>
      </c>
      <c r="C37" s="12" t="s">
        <v>20</v>
      </c>
      <c r="D37" s="94">
        <v>16.161707224000001</v>
      </c>
      <c r="E37" s="25">
        <v>18.255964222000003</v>
      </c>
      <c r="F37" s="25">
        <v>12.22908432</v>
      </c>
      <c r="G37" s="25">
        <v>16.693816124000001</v>
      </c>
      <c r="H37" s="25">
        <v>19.451061820000003</v>
      </c>
      <c r="I37" s="25">
        <v>17.877299378000004</v>
      </c>
      <c r="J37" s="25">
        <v>18.448508504000003</v>
      </c>
      <c r="K37" s="25">
        <v>16.477174284000004</v>
      </c>
      <c r="L37" s="25">
        <v>17.754669809999999</v>
      </c>
      <c r="M37" s="27">
        <v>24.406133279999999</v>
      </c>
      <c r="N37" s="210">
        <v>1.5830079720000001</v>
      </c>
      <c r="O37" s="210">
        <v>1.743105474</v>
      </c>
      <c r="P37" s="210">
        <v>1.9565257700000001</v>
      </c>
      <c r="Q37" s="210">
        <v>1.3996478880000001</v>
      </c>
      <c r="R37" s="210"/>
      <c r="S37" s="210"/>
      <c r="T37" s="210"/>
      <c r="U37" s="210"/>
      <c r="V37" s="210"/>
      <c r="W37" s="210"/>
      <c r="X37" s="210"/>
      <c r="Y37" s="209"/>
      <c r="Z37" s="227">
        <v>7.355011450000001</v>
      </c>
      <c r="AA37" s="211">
        <v>6.6822871040000003</v>
      </c>
      <c r="AB37" s="236">
        <f t="shared" si="0"/>
        <v>-9.1464758494699594E-2</v>
      </c>
    </row>
    <row r="38" spans="1:28">
      <c r="B38" s="12" t="s">
        <v>14</v>
      </c>
      <c r="C38" s="12" t="s">
        <v>21</v>
      </c>
      <c r="D38" s="94">
        <v>2751.2270675162345</v>
      </c>
      <c r="E38" s="25">
        <v>2341.4703741318804</v>
      </c>
      <c r="F38" s="25">
        <v>1021.1318431412325</v>
      </c>
      <c r="G38" s="25">
        <v>1325.3933700418327</v>
      </c>
      <c r="H38" s="25">
        <v>1325.905731583126</v>
      </c>
      <c r="I38" s="25">
        <v>1082.8407173865523</v>
      </c>
      <c r="J38" s="25">
        <v>886.23183702941606</v>
      </c>
      <c r="K38" s="25">
        <v>999.05198578916281</v>
      </c>
      <c r="L38" s="25">
        <v>562.95747952334375</v>
      </c>
      <c r="M38" s="27">
        <v>506.76495685595188</v>
      </c>
      <c r="N38" s="214">
        <v>549.72265476913287</v>
      </c>
      <c r="O38" s="214">
        <v>608.742440695504</v>
      </c>
      <c r="P38" s="214">
        <v>642.47795583412403</v>
      </c>
      <c r="Q38" s="214">
        <v>705.48328487594006</v>
      </c>
      <c r="R38" s="214"/>
      <c r="S38" s="214"/>
      <c r="T38" s="214"/>
      <c r="U38" s="214"/>
      <c r="V38" s="214"/>
      <c r="W38" s="214"/>
      <c r="X38" s="214"/>
      <c r="Y38" s="213"/>
      <c r="Z38" s="228">
        <v>403.45434032847947</v>
      </c>
      <c r="AA38" s="215">
        <v>624.9013889217191</v>
      </c>
      <c r="AB38" s="236">
        <f t="shared" si="0"/>
        <v>0.54887759644113543</v>
      </c>
    </row>
    <row r="39" spans="1:28">
      <c r="D39" s="94"/>
      <c r="E39" s="25"/>
      <c r="F39" s="25"/>
      <c r="G39" s="25"/>
      <c r="H39" s="25"/>
      <c r="I39" s="25"/>
      <c r="J39" s="25"/>
      <c r="K39" s="25"/>
      <c r="L39" s="25"/>
      <c r="M39" s="27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3"/>
      <c r="Z39" s="216"/>
      <c r="AA39" s="215"/>
      <c r="AB39" s="236"/>
    </row>
    <row r="40" spans="1:28">
      <c r="A40" s="12" t="s">
        <v>32</v>
      </c>
      <c r="B40" s="12" t="s">
        <v>10</v>
      </c>
      <c r="C40" s="12" t="s">
        <v>11</v>
      </c>
      <c r="D40" s="94">
        <v>50.600247423758653</v>
      </c>
      <c r="E40" s="25">
        <v>47.623667214277958</v>
      </c>
      <c r="F40" s="25">
        <v>27.489491084697907</v>
      </c>
      <c r="G40" s="25">
        <v>29.128838236367177</v>
      </c>
      <c r="H40" s="25">
        <v>31.208521760732285</v>
      </c>
      <c r="I40" s="25">
        <v>21.6183863068179</v>
      </c>
      <c r="J40" s="25">
        <v>23.221805972559654</v>
      </c>
      <c r="K40" s="25">
        <v>37.872977758038765</v>
      </c>
      <c r="L40" s="25">
        <v>26.956227140133979</v>
      </c>
      <c r="M40" s="27">
        <v>14.999100398455615</v>
      </c>
      <c r="N40" s="210">
        <v>3.6352076477878725</v>
      </c>
      <c r="O40" s="210">
        <v>3.4352120802236534</v>
      </c>
      <c r="P40" s="210">
        <v>2.2047326032046222</v>
      </c>
      <c r="Q40" s="210">
        <v>0.46773675545208349</v>
      </c>
      <c r="R40" s="210"/>
      <c r="S40" s="210"/>
      <c r="T40" s="210"/>
      <c r="U40" s="210"/>
      <c r="V40" s="210"/>
      <c r="W40" s="210"/>
      <c r="X40" s="210"/>
      <c r="Y40" s="209"/>
      <c r="Z40" s="227">
        <v>1.7850803585424799</v>
      </c>
      <c r="AA40" s="215">
        <v>9.7428890866682316</v>
      </c>
      <c r="AB40" s="236">
        <f t="shared" si="0"/>
        <v>4.457955458444073</v>
      </c>
    </row>
    <row r="41" spans="1:28">
      <c r="D41" s="311"/>
      <c r="E41" s="312"/>
      <c r="F41" s="312"/>
      <c r="G41" s="28"/>
      <c r="H41" s="28"/>
      <c r="I41" s="28"/>
      <c r="J41" s="28"/>
      <c r="K41" s="28"/>
      <c r="L41" s="28"/>
      <c r="M41" s="29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3"/>
      <c r="Z41" s="216"/>
      <c r="AA41" s="215"/>
      <c r="AB41" s="235"/>
    </row>
    <row r="42" spans="1:28" ht="12.75" thickBot="1">
      <c r="A42" s="16" t="s">
        <v>30</v>
      </c>
      <c r="B42" s="16"/>
      <c r="C42" s="16"/>
      <c r="D42" s="95">
        <f t="shared" ref="D42" si="1">SUM(D8,D12,D16,D20,D24,D32,D28,D36,D40)</f>
        <v>17439.352246936651</v>
      </c>
      <c r="E42" s="95">
        <f t="shared" ref="E42" si="2">SUM(E8,E12,E16,E20,E24,E32,E28,E36,E40)</f>
        <v>18100.9679482994</v>
      </c>
      <c r="F42" s="95">
        <f t="shared" ref="F42:L42" si="3">SUM(F8,F12,F16,F20,F24,F32,F28,F36,F40)</f>
        <v>16481.813528277929</v>
      </c>
      <c r="G42" s="96">
        <f t="shared" si="3"/>
        <v>21902.831565768924</v>
      </c>
      <c r="H42" s="96">
        <f t="shared" si="3"/>
        <v>27525.674834212732</v>
      </c>
      <c r="I42" s="96">
        <f t="shared" si="3"/>
        <v>27466.673086776646</v>
      </c>
      <c r="J42" s="96">
        <f t="shared" si="3"/>
        <v>23789.445416193052</v>
      </c>
      <c r="K42" s="96">
        <f t="shared" si="3"/>
        <v>20545.413928408008</v>
      </c>
      <c r="L42" s="96">
        <f t="shared" si="3"/>
        <v>18836.319853859728</v>
      </c>
      <c r="M42" s="97">
        <f t="shared" ref="M42" si="4">SUM(M8,M12,M16,M20,M24,M32,M28,M36,M40)</f>
        <v>21652.039016532101</v>
      </c>
      <c r="N42" s="217">
        <f>N40+N36+N28+N32+N24+N20+N16+N12+N8</f>
        <v>1811.3008221384296</v>
      </c>
      <c r="O42" s="217">
        <f>O40+O36+O28+O32+O24+O20+O16+O12+O8</f>
        <v>2198.4660768932599</v>
      </c>
      <c r="P42" s="217">
        <f t="shared" ref="P42:AA42" si="5">SUM(P8,P12,P16,P20,P24,P32,P28,P36,P40)</f>
        <v>1988.6005801828546</v>
      </c>
      <c r="Q42" s="217">
        <f t="shared" si="5"/>
        <v>1853.2424698603243</v>
      </c>
      <c r="R42" s="217">
        <f t="shared" si="5"/>
        <v>0</v>
      </c>
      <c r="S42" s="217">
        <f t="shared" si="5"/>
        <v>0</v>
      </c>
      <c r="T42" s="217">
        <f t="shared" si="5"/>
        <v>0</v>
      </c>
      <c r="U42" s="217">
        <f t="shared" si="5"/>
        <v>0</v>
      </c>
      <c r="V42" s="217">
        <f t="shared" si="5"/>
        <v>0</v>
      </c>
      <c r="W42" s="217">
        <f t="shared" si="5"/>
        <v>0</v>
      </c>
      <c r="X42" s="217">
        <f t="shared" si="5"/>
        <v>0</v>
      </c>
      <c r="Y42" s="217">
        <f t="shared" si="5"/>
        <v>0</v>
      </c>
      <c r="Z42" s="217">
        <f t="shared" si="5"/>
        <v>6199.0367182563095</v>
      </c>
      <c r="AA42" s="217">
        <f t="shared" si="5"/>
        <v>7851.6099490748702</v>
      </c>
      <c r="AB42" s="237">
        <f t="shared" si="0"/>
        <v>0.26658548834719653</v>
      </c>
    </row>
    <row r="45" spans="1:28">
      <c r="A45" s="5" t="s">
        <v>31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177"/>
    </row>
    <row r="46" spans="1:28" s="53" customFormat="1">
      <c r="A46" s="50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B46" s="178"/>
    </row>
    <row r="50" spans="1:29">
      <c r="A50" s="243" t="str">
        <f t="shared" ref="A50:Z50" si="6">A8</f>
        <v>Cobre</v>
      </c>
      <c r="B50" s="243" t="str">
        <f t="shared" si="6"/>
        <v>Valor</v>
      </c>
      <c r="C50" s="243" t="str">
        <f t="shared" si="6"/>
        <v>(US$MM)</v>
      </c>
      <c r="D50" s="244">
        <f t="shared" ref="D50:E50" si="7">D8</f>
        <v>7219.0687201917526</v>
      </c>
      <c r="E50" s="244">
        <f t="shared" si="7"/>
        <v>7276.9520400628562</v>
      </c>
      <c r="F50" s="244">
        <f t="shared" si="6"/>
        <v>5935.4024202705696</v>
      </c>
      <c r="G50" s="244">
        <f t="shared" si="6"/>
        <v>8879.1470329311687</v>
      </c>
      <c r="H50" s="244">
        <f t="shared" si="6"/>
        <v>10721.031282565797</v>
      </c>
      <c r="I50" s="244">
        <f t="shared" si="6"/>
        <v>10730.942210401816</v>
      </c>
      <c r="J50" s="244">
        <f t="shared" si="6"/>
        <v>9820.7478280872583</v>
      </c>
      <c r="K50" s="244">
        <f t="shared" si="6"/>
        <v>8874.9060769625194</v>
      </c>
      <c r="L50" s="244">
        <f t="shared" si="6"/>
        <v>8174.9932293081592</v>
      </c>
      <c r="M50" s="244">
        <f t="shared" ref="M50" si="8">M8</f>
        <v>10168.367285688868</v>
      </c>
      <c r="N50" s="245">
        <f t="shared" si="6"/>
        <v>877.27793135868546</v>
      </c>
      <c r="O50" s="245">
        <f t="shared" si="6"/>
        <v>1151.1896032639568</v>
      </c>
      <c r="P50" s="245">
        <f t="shared" si="6"/>
        <v>1017.3495567839394</v>
      </c>
      <c r="Q50" s="245">
        <f t="shared" si="6"/>
        <v>932.59457055145992</v>
      </c>
      <c r="R50" s="245">
        <f t="shared" si="6"/>
        <v>0</v>
      </c>
      <c r="S50" s="245">
        <f t="shared" si="6"/>
        <v>0</v>
      </c>
      <c r="T50" s="245">
        <f t="shared" si="6"/>
        <v>0</v>
      </c>
      <c r="U50" s="245">
        <f t="shared" si="6"/>
        <v>0</v>
      </c>
      <c r="V50" s="245">
        <f t="shared" si="6"/>
        <v>0</v>
      </c>
      <c r="W50" s="245">
        <f t="shared" si="6"/>
        <v>0</v>
      </c>
      <c r="X50" s="245">
        <f t="shared" si="6"/>
        <v>0</v>
      </c>
      <c r="Y50" s="245">
        <f t="shared" si="6"/>
        <v>0</v>
      </c>
      <c r="Z50" s="246">
        <f t="shared" si="6"/>
        <v>2799.1823965723888</v>
      </c>
      <c r="AA50" s="246">
        <f>AA8</f>
        <v>3978.4116619580418</v>
      </c>
      <c r="AB50" s="249">
        <f t="shared" ref="AB50:AB59" si="9">AA50/Z50-1</f>
        <v>0.42127632226811107</v>
      </c>
      <c r="AC50" s="459"/>
    </row>
    <row r="51" spans="1:29">
      <c r="A51" s="243" t="str">
        <f t="shared" ref="A51:AA51" si="10">A12</f>
        <v>Oro</v>
      </c>
      <c r="B51" s="243" t="str">
        <f t="shared" si="10"/>
        <v>Valor</v>
      </c>
      <c r="C51" s="243" t="str">
        <f t="shared" si="10"/>
        <v>(US$MM)</v>
      </c>
      <c r="D51" s="244">
        <f t="shared" ref="D51:E51" si="11">D12</f>
        <v>4187.4032129251573</v>
      </c>
      <c r="E51" s="244">
        <f t="shared" si="11"/>
        <v>5586.0346055150185</v>
      </c>
      <c r="F51" s="244">
        <f t="shared" si="10"/>
        <v>6790.9480920625147</v>
      </c>
      <c r="G51" s="244">
        <f t="shared" si="10"/>
        <v>7744.6314899523886</v>
      </c>
      <c r="H51" s="244">
        <f t="shared" si="10"/>
        <v>10235.353079840146</v>
      </c>
      <c r="I51" s="244">
        <f t="shared" si="10"/>
        <v>10745.515758961699</v>
      </c>
      <c r="J51" s="244">
        <f t="shared" si="10"/>
        <v>8536.2794900494937</v>
      </c>
      <c r="K51" s="244">
        <f t="shared" si="10"/>
        <v>6729.0722178974011</v>
      </c>
      <c r="L51" s="244">
        <f t="shared" si="10"/>
        <v>6536.8565620916115</v>
      </c>
      <c r="M51" s="244">
        <f t="shared" ref="M51" si="12">M12</f>
        <v>7266.6062404091153</v>
      </c>
      <c r="N51" s="245">
        <f t="shared" si="10"/>
        <v>569.27633562586902</v>
      </c>
      <c r="O51" s="245">
        <f t="shared" si="10"/>
        <v>601.65136102966164</v>
      </c>
      <c r="P51" s="245">
        <f t="shared" si="10"/>
        <v>588.91525166564077</v>
      </c>
      <c r="Q51" s="245">
        <f t="shared" si="10"/>
        <v>563.0513758806776</v>
      </c>
      <c r="R51" s="245">
        <f t="shared" si="10"/>
        <v>0</v>
      </c>
      <c r="S51" s="245">
        <f t="shared" si="10"/>
        <v>0</v>
      </c>
      <c r="T51" s="245">
        <f t="shared" si="10"/>
        <v>0</v>
      </c>
      <c r="U51" s="245">
        <f t="shared" si="10"/>
        <v>0</v>
      </c>
      <c r="V51" s="245">
        <f t="shared" si="10"/>
        <v>0</v>
      </c>
      <c r="W51" s="245">
        <f t="shared" si="10"/>
        <v>0</v>
      </c>
      <c r="X51" s="245">
        <f t="shared" si="10"/>
        <v>0</v>
      </c>
      <c r="Y51" s="245">
        <f t="shared" si="10"/>
        <v>0</v>
      </c>
      <c r="Z51" s="246">
        <f t="shared" si="10"/>
        <v>2253.5046709231819</v>
      </c>
      <c r="AA51" s="246">
        <f t="shared" si="10"/>
        <v>2322.8943242018495</v>
      </c>
      <c r="AB51" s="249">
        <f t="shared" si="9"/>
        <v>3.0791883493297201E-2</v>
      </c>
    </row>
    <row r="52" spans="1:29">
      <c r="A52" s="243" t="str">
        <f t="shared" ref="A52:AA52" si="13">A16</f>
        <v>Zinc</v>
      </c>
      <c r="B52" s="243" t="str">
        <f t="shared" si="13"/>
        <v>Valor</v>
      </c>
      <c r="C52" s="243" t="str">
        <f t="shared" si="13"/>
        <v>(US$MM)</v>
      </c>
      <c r="D52" s="244">
        <f t="shared" ref="D52:E52" si="14">D16</f>
        <v>2539.4072801646053</v>
      </c>
      <c r="E52" s="244">
        <f t="shared" si="14"/>
        <v>1468.2951198311805</v>
      </c>
      <c r="F52" s="244">
        <f t="shared" si="13"/>
        <v>1233.2203045912822</v>
      </c>
      <c r="G52" s="244">
        <f t="shared" si="13"/>
        <v>1696.0733253334295</v>
      </c>
      <c r="H52" s="244">
        <f t="shared" si="13"/>
        <v>1522.5406592484687</v>
      </c>
      <c r="I52" s="244">
        <f t="shared" si="13"/>
        <v>1352.3374325660052</v>
      </c>
      <c r="J52" s="244">
        <f t="shared" si="13"/>
        <v>1413.8433873410634</v>
      </c>
      <c r="K52" s="244">
        <f t="shared" si="13"/>
        <v>1503.5472338862523</v>
      </c>
      <c r="L52" s="244">
        <f t="shared" si="13"/>
        <v>1506.7224184186537</v>
      </c>
      <c r="M52" s="244">
        <f t="shared" ref="M52" si="15">M16</f>
        <v>1465.5124362924942</v>
      </c>
      <c r="N52" s="245">
        <f t="shared" si="13"/>
        <v>140.90527317247125</v>
      </c>
      <c r="O52" s="245">
        <f t="shared" si="13"/>
        <v>192.93146834337486</v>
      </c>
      <c r="P52" s="245">
        <f t="shared" si="13"/>
        <v>174.32871532707574</v>
      </c>
      <c r="Q52" s="245">
        <f t="shared" si="13"/>
        <v>121.59559148982768</v>
      </c>
      <c r="R52" s="245">
        <f t="shared" si="13"/>
        <v>0</v>
      </c>
      <c r="S52" s="245">
        <f t="shared" si="13"/>
        <v>0</v>
      </c>
      <c r="T52" s="245">
        <f t="shared" si="13"/>
        <v>0</v>
      </c>
      <c r="U52" s="245">
        <f t="shared" si="13"/>
        <v>0</v>
      </c>
      <c r="V52" s="245">
        <f t="shared" si="13"/>
        <v>0</v>
      </c>
      <c r="W52" s="245">
        <f t="shared" si="13"/>
        <v>0</v>
      </c>
      <c r="X52" s="245">
        <f t="shared" si="13"/>
        <v>0</v>
      </c>
      <c r="Y52" s="245">
        <f t="shared" si="13"/>
        <v>0</v>
      </c>
      <c r="Z52" s="246">
        <f t="shared" si="13"/>
        <v>391.80284421953331</v>
      </c>
      <c r="AA52" s="246">
        <f t="shared" si="13"/>
        <v>629.76104833274962</v>
      </c>
      <c r="AB52" s="249">
        <f t="shared" si="9"/>
        <v>0.60734169652909564</v>
      </c>
    </row>
    <row r="53" spans="1:29">
      <c r="A53" s="243" t="str">
        <f t="shared" ref="A53:AA53" si="16">A20</f>
        <v>Plata</v>
      </c>
      <c r="B53" s="243" t="str">
        <f t="shared" si="16"/>
        <v>Valor</v>
      </c>
      <c r="C53" s="243" t="str">
        <f t="shared" si="16"/>
        <v>(US$MM)</v>
      </c>
      <c r="D53" s="244">
        <f t="shared" ref="D53:E53" si="17">D20</f>
        <v>538.233568262017</v>
      </c>
      <c r="E53" s="244">
        <f t="shared" si="17"/>
        <v>595.44527574297194</v>
      </c>
      <c r="F53" s="244">
        <f t="shared" si="16"/>
        <v>214.08494407795499</v>
      </c>
      <c r="G53" s="244">
        <f t="shared" si="16"/>
        <v>118.20838016762899</v>
      </c>
      <c r="H53" s="244">
        <f t="shared" si="16"/>
        <v>219.44862884541499</v>
      </c>
      <c r="I53" s="244">
        <f t="shared" si="16"/>
        <v>209.569981439488</v>
      </c>
      <c r="J53" s="244">
        <f t="shared" si="16"/>
        <v>479.2518043975009</v>
      </c>
      <c r="K53" s="244">
        <f t="shared" si="16"/>
        <v>331.07695278478701</v>
      </c>
      <c r="L53" s="244">
        <f t="shared" si="16"/>
        <v>137.79635297098301</v>
      </c>
      <c r="M53" s="244">
        <f t="shared" ref="M53" si="18">M20</f>
        <v>119.93616545629101</v>
      </c>
      <c r="N53" s="245">
        <f t="shared" si="16"/>
        <v>7.5365141339719992</v>
      </c>
      <c r="O53" s="245">
        <f t="shared" si="16"/>
        <v>9.0493834877759998</v>
      </c>
      <c r="P53" s="245">
        <f t="shared" si="16"/>
        <v>8.8712224799399984</v>
      </c>
      <c r="Q53" s="245">
        <f t="shared" si="16"/>
        <v>7.9872067438679997</v>
      </c>
      <c r="R53" s="245">
        <f t="shared" si="16"/>
        <v>0</v>
      </c>
      <c r="S53" s="245">
        <f t="shared" si="16"/>
        <v>0</v>
      </c>
      <c r="T53" s="245">
        <f t="shared" si="16"/>
        <v>0</v>
      </c>
      <c r="U53" s="245">
        <f t="shared" si="16"/>
        <v>0</v>
      </c>
      <c r="V53" s="245">
        <f t="shared" si="16"/>
        <v>0</v>
      </c>
      <c r="W53" s="245">
        <f t="shared" si="16"/>
        <v>0</v>
      </c>
      <c r="X53" s="245">
        <f t="shared" si="16"/>
        <v>0</v>
      </c>
      <c r="Y53" s="245">
        <f t="shared" si="16"/>
        <v>0</v>
      </c>
      <c r="Z53" s="246">
        <f t="shared" si="16"/>
        <v>36.278631969460001</v>
      </c>
      <c r="AA53" s="246">
        <f t="shared" si="16"/>
        <v>33.444326845555999</v>
      </c>
      <c r="AB53" s="249">
        <f t="shared" si="9"/>
        <v>-7.812601991965884E-2</v>
      </c>
    </row>
    <row r="54" spans="1:29">
      <c r="A54" s="243" t="str">
        <f t="shared" ref="A54:AA54" si="19">A24</f>
        <v>Plomo</v>
      </c>
      <c r="B54" s="243" t="str">
        <f t="shared" si="19"/>
        <v>Valor</v>
      </c>
      <c r="C54" s="243" t="str">
        <f t="shared" si="19"/>
        <v>(US$MM)</v>
      </c>
      <c r="D54" s="244">
        <f t="shared" ref="D54:E54" si="20">D24</f>
        <v>1032.9556582579808</v>
      </c>
      <c r="E54" s="244">
        <f t="shared" si="20"/>
        <v>1135.6647188208904</v>
      </c>
      <c r="F54" s="244">
        <f t="shared" si="19"/>
        <v>1115.8065786717914</v>
      </c>
      <c r="G54" s="244">
        <f t="shared" si="19"/>
        <v>1578.8088600715344</v>
      </c>
      <c r="H54" s="244">
        <f t="shared" si="19"/>
        <v>2426.735952128829</v>
      </c>
      <c r="I54" s="244">
        <f t="shared" si="19"/>
        <v>2575.3341204307012</v>
      </c>
      <c r="J54" s="244">
        <f t="shared" si="19"/>
        <v>1776.0595258877415</v>
      </c>
      <c r="K54" s="244">
        <f t="shared" si="19"/>
        <v>1522.5135211197114</v>
      </c>
      <c r="L54" s="244">
        <f t="shared" si="19"/>
        <v>1541.6724338588276</v>
      </c>
      <c r="M54" s="244">
        <f t="shared" ref="M54" si="21">M24</f>
        <v>1655.9292457940699</v>
      </c>
      <c r="N54" s="245">
        <f t="shared" si="19"/>
        <v>99.361766696043375</v>
      </c>
      <c r="O54" s="245">
        <f t="shared" si="19"/>
        <v>156.49080376704438</v>
      </c>
      <c r="P54" s="245">
        <f t="shared" si="19"/>
        <v>79.020241572995104</v>
      </c>
      <c r="Q54" s="245">
        <f t="shared" si="19"/>
        <v>114.85748907771986</v>
      </c>
      <c r="R54" s="245">
        <f t="shared" si="19"/>
        <v>0</v>
      </c>
      <c r="S54" s="245">
        <f t="shared" si="19"/>
        <v>0</v>
      </c>
      <c r="T54" s="245">
        <f t="shared" si="19"/>
        <v>0</v>
      </c>
      <c r="U54" s="245">
        <f t="shared" si="19"/>
        <v>0</v>
      </c>
      <c r="V54" s="245">
        <f t="shared" si="19"/>
        <v>0</v>
      </c>
      <c r="W54" s="245">
        <f t="shared" si="19"/>
        <v>0</v>
      </c>
      <c r="X54" s="245">
        <f t="shared" si="19"/>
        <v>0</v>
      </c>
      <c r="Y54" s="245">
        <f t="shared" si="19"/>
        <v>0</v>
      </c>
      <c r="Z54" s="246">
        <f t="shared" si="19"/>
        <v>448.63721474239708</v>
      </c>
      <c r="AA54" s="246">
        <f t="shared" si="19"/>
        <v>449.73030111380274</v>
      </c>
      <c r="AB54" s="249">
        <f t="shared" si="9"/>
        <v>2.4364594275427809E-3</v>
      </c>
    </row>
    <row r="55" spans="1:29">
      <c r="A55" s="243" t="str">
        <f t="shared" ref="A55:AA55" si="22">A32</f>
        <v>Estaño</v>
      </c>
      <c r="B55" s="243" t="str">
        <f t="shared" si="22"/>
        <v>Valor</v>
      </c>
      <c r="C55" s="243" t="str">
        <f t="shared" si="22"/>
        <v>(US$MM)</v>
      </c>
      <c r="D55" s="244">
        <f t="shared" ref="D55:E55" si="23">D32</f>
        <v>595.09949347270776</v>
      </c>
      <c r="E55" s="244">
        <f t="shared" si="23"/>
        <v>662.76975228062634</v>
      </c>
      <c r="F55" s="244">
        <f t="shared" si="22"/>
        <v>591.21348325130839</v>
      </c>
      <c r="G55" s="244">
        <f t="shared" si="22"/>
        <v>841.62143845581932</v>
      </c>
      <c r="H55" s="244">
        <f t="shared" si="22"/>
        <v>775.59494796720764</v>
      </c>
      <c r="I55" s="244">
        <f t="shared" si="22"/>
        <v>558.25922602627895</v>
      </c>
      <c r="J55" s="244">
        <f t="shared" si="22"/>
        <v>527.71235375709966</v>
      </c>
      <c r="K55" s="244">
        <f t="shared" si="22"/>
        <v>539.5582164992918</v>
      </c>
      <c r="L55" s="244">
        <f t="shared" si="22"/>
        <v>341.685340655076</v>
      </c>
      <c r="M55" s="244">
        <f t="shared" ref="M55" si="24">M32</f>
        <v>343.75473560885104</v>
      </c>
      <c r="N55" s="245">
        <f t="shared" si="22"/>
        <v>27.353139893823393</v>
      </c>
      <c r="O55" s="245">
        <f t="shared" si="22"/>
        <v>27.810328453472</v>
      </c>
      <c r="P55" s="245">
        <f t="shared" si="22"/>
        <v>35.308213501116761</v>
      </c>
      <c r="Q55" s="245">
        <f t="shared" si="22"/>
        <v>34.129454632682446</v>
      </c>
      <c r="R55" s="245">
        <f t="shared" si="22"/>
        <v>0</v>
      </c>
      <c r="S55" s="245">
        <f t="shared" si="22"/>
        <v>0</v>
      </c>
      <c r="T55" s="245">
        <f t="shared" si="22"/>
        <v>0</v>
      </c>
      <c r="U55" s="245">
        <f t="shared" si="22"/>
        <v>0</v>
      </c>
      <c r="V55" s="245">
        <f t="shared" si="22"/>
        <v>0</v>
      </c>
      <c r="W55" s="245">
        <f t="shared" si="22"/>
        <v>0</v>
      </c>
      <c r="X55" s="245">
        <f t="shared" si="22"/>
        <v>0</v>
      </c>
      <c r="Y55" s="245">
        <f t="shared" si="22"/>
        <v>0</v>
      </c>
      <c r="Z55" s="246">
        <f t="shared" si="22"/>
        <v>97.108043280080011</v>
      </c>
      <c r="AA55" s="246">
        <f t="shared" si="22"/>
        <v>124.60113648109458</v>
      </c>
      <c r="AB55" s="249">
        <f t="shared" si="9"/>
        <v>0.28311859936996897</v>
      </c>
    </row>
    <row r="56" spans="1:29">
      <c r="A56" s="243" t="str">
        <f>A28</f>
        <v>Hierro</v>
      </c>
      <c r="B56" s="243" t="str">
        <f t="shared" ref="B56:AA56" si="25">B28</f>
        <v>Valor</v>
      </c>
      <c r="C56" s="243" t="str">
        <f t="shared" si="25"/>
        <v>(US$MM)</v>
      </c>
      <c r="D56" s="244">
        <f>D28</f>
        <v>285.41642566243098</v>
      </c>
      <c r="E56" s="244">
        <f>E28</f>
        <v>385.08789704585701</v>
      </c>
      <c r="F56" s="244">
        <f>F28</f>
        <v>297.68320635250899</v>
      </c>
      <c r="G56" s="244">
        <f t="shared" si="25"/>
        <v>523.27650585695505</v>
      </c>
      <c r="H56" s="244">
        <f t="shared" si="25"/>
        <v>1030.072291616872</v>
      </c>
      <c r="I56" s="244">
        <f t="shared" si="25"/>
        <v>844.8284799506572</v>
      </c>
      <c r="J56" s="244">
        <f t="shared" si="25"/>
        <v>856.80847467289618</v>
      </c>
      <c r="K56" s="244">
        <f t="shared" si="25"/>
        <v>646.70480025804579</v>
      </c>
      <c r="L56" s="244">
        <f t="shared" ref="L56:M56" si="26">L28</f>
        <v>350.00259655641497</v>
      </c>
      <c r="M56" s="244">
        <f t="shared" si="26"/>
        <v>344.26226528241506</v>
      </c>
      <c r="N56" s="245">
        <f t="shared" si="25"/>
        <v>66.769689257564991</v>
      </c>
      <c r="O56" s="245">
        <f t="shared" si="25"/>
        <v>32.514615547974003</v>
      </c>
      <c r="P56" s="245">
        <f t="shared" si="25"/>
        <v>54.889995852147003</v>
      </c>
      <c r="Q56" s="245">
        <f t="shared" si="25"/>
        <v>56.789979484089002</v>
      </c>
      <c r="R56" s="245">
        <f t="shared" si="25"/>
        <v>0</v>
      </c>
      <c r="S56" s="245">
        <f t="shared" si="25"/>
        <v>0</v>
      </c>
      <c r="T56" s="245">
        <f t="shared" si="25"/>
        <v>0</v>
      </c>
      <c r="U56" s="245">
        <f t="shared" si="25"/>
        <v>0</v>
      </c>
      <c r="V56" s="245">
        <f t="shared" si="25"/>
        <v>0</v>
      </c>
      <c r="W56" s="245">
        <f t="shared" si="25"/>
        <v>0</v>
      </c>
      <c r="X56" s="245">
        <f t="shared" si="25"/>
        <v>0</v>
      </c>
      <c r="Y56" s="245">
        <f t="shared" si="25"/>
        <v>0</v>
      </c>
      <c r="Z56" s="246">
        <f t="shared" si="25"/>
        <v>105.317615549268</v>
      </c>
      <c r="AA56" s="246">
        <f t="shared" si="25"/>
        <v>210.96428014177499</v>
      </c>
      <c r="AB56" s="249">
        <f t="shared" si="9"/>
        <v>1.0031243495356676</v>
      </c>
    </row>
    <row r="57" spans="1:29">
      <c r="A57" s="243" t="str">
        <f>A36</f>
        <v>Molibdeno</v>
      </c>
      <c r="B57" s="243" t="str">
        <f t="shared" ref="B57:AA57" si="27">B36</f>
        <v>Valor</v>
      </c>
      <c r="C57" s="243" t="str">
        <f t="shared" si="27"/>
        <v>(US$MM)</v>
      </c>
      <c r="D57" s="244">
        <f t="shared" ref="D57:E57" si="28">D36</f>
        <v>991.16764057624141</v>
      </c>
      <c r="E57" s="244">
        <f t="shared" si="28"/>
        <v>943.09487178572181</v>
      </c>
      <c r="F57" s="244">
        <f t="shared" si="27"/>
        <v>275.96500791530212</v>
      </c>
      <c r="G57" s="244">
        <f t="shared" si="27"/>
        <v>491.9356947636328</v>
      </c>
      <c r="H57" s="244">
        <f t="shared" si="27"/>
        <v>563.68947023926762</v>
      </c>
      <c r="I57" s="244">
        <f t="shared" si="27"/>
        <v>428.26749069318208</v>
      </c>
      <c r="J57" s="244">
        <f t="shared" si="27"/>
        <v>355.52074602744028</v>
      </c>
      <c r="K57" s="244">
        <f t="shared" si="27"/>
        <v>360.16193124196127</v>
      </c>
      <c r="L57" s="244">
        <f t="shared" ref="L57:M57" si="29">L36</f>
        <v>219.63469285986599</v>
      </c>
      <c r="M57" s="244">
        <f t="shared" si="29"/>
        <v>272.67154160154439</v>
      </c>
      <c r="N57" s="245">
        <f t="shared" si="27"/>
        <v>19.184964352212127</v>
      </c>
      <c r="O57" s="245">
        <f t="shared" si="27"/>
        <v>23.393300919776348</v>
      </c>
      <c r="P57" s="245">
        <f t="shared" si="27"/>
        <v>27.712650396795379</v>
      </c>
      <c r="Q57" s="245">
        <f t="shared" si="27"/>
        <v>21.769065244547917</v>
      </c>
      <c r="R57" s="245">
        <f t="shared" si="27"/>
        <v>0</v>
      </c>
      <c r="S57" s="245">
        <f t="shared" si="27"/>
        <v>0</v>
      </c>
      <c r="T57" s="245">
        <f t="shared" si="27"/>
        <v>0</v>
      </c>
      <c r="U57" s="245">
        <f t="shared" si="27"/>
        <v>0</v>
      </c>
      <c r="V57" s="245">
        <f t="shared" si="27"/>
        <v>0</v>
      </c>
      <c r="W57" s="245">
        <f t="shared" si="27"/>
        <v>0</v>
      </c>
      <c r="X57" s="245">
        <f t="shared" si="27"/>
        <v>0</v>
      </c>
      <c r="Y57" s="245">
        <f t="shared" si="27"/>
        <v>0</v>
      </c>
      <c r="Z57" s="246">
        <f t="shared" si="27"/>
        <v>65.420220641457519</v>
      </c>
      <c r="AA57" s="246">
        <f t="shared" si="27"/>
        <v>92.059980913331771</v>
      </c>
      <c r="AB57" s="249">
        <f t="shared" si="9"/>
        <v>0.40720988114479617</v>
      </c>
    </row>
    <row r="58" spans="1:29">
      <c r="A58" s="243" t="str">
        <f>A40</f>
        <v>Otros</v>
      </c>
      <c r="B58" s="243" t="str">
        <f t="shared" ref="B58:AA58" si="30">B40</f>
        <v>Valor</v>
      </c>
      <c r="C58" s="243" t="str">
        <f t="shared" si="30"/>
        <v>(US$MM)</v>
      </c>
      <c r="D58" s="244">
        <f t="shared" ref="D58:E58" si="31">D40</f>
        <v>50.600247423758653</v>
      </c>
      <c r="E58" s="244">
        <f t="shared" si="31"/>
        <v>47.623667214277958</v>
      </c>
      <c r="F58" s="244">
        <f t="shared" si="30"/>
        <v>27.489491084697907</v>
      </c>
      <c r="G58" s="244">
        <f t="shared" si="30"/>
        <v>29.128838236367177</v>
      </c>
      <c r="H58" s="244">
        <f t="shared" si="30"/>
        <v>31.208521760732285</v>
      </c>
      <c r="I58" s="244">
        <f t="shared" si="30"/>
        <v>21.6183863068179</v>
      </c>
      <c r="J58" s="244">
        <f t="shared" si="30"/>
        <v>23.221805972559654</v>
      </c>
      <c r="K58" s="244">
        <f t="shared" si="30"/>
        <v>37.872977758038765</v>
      </c>
      <c r="L58" s="244">
        <f t="shared" ref="L58:M58" si="32">L40</f>
        <v>26.956227140133979</v>
      </c>
      <c r="M58" s="244">
        <f t="shared" si="32"/>
        <v>14.999100398455615</v>
      </c>
      <c r="N58" s="245">
        <f t="shared" si="30"/>
        <v>3.6352076477878725</v>
      </c>
      <c r="O58" s="245">
        <f t="shared" si="30"/>
        <v>3.4352120802236534</v>
      </c>
      <c r="P58" s="245">
        <f t="shared" si="30"/>
        <v>2.2047326032046222</v>
      </c>
      <c r="Q58" s="245">
        <f t="shared" si="30"/>
        <v>0.46773675545208349</v>
      </c>
      <c r="R58" s="245">
        <f t="shared" si="30"/>
        <v>0</v>
      </c>
      <c r="S58" s="245">
        <f t="shared" si="30"/>
        <v>0</v>
      </c>
      <c r="T58" s="245">
        <f t="shared" si="30"/>
        <v>0</v>
      </c>
      <c r="U58" s="245">
        <f t="shared" si="30"/>
        <v>0</v>
      </c>
      <c r="V58" s="245">
        <f t="shared" si="30"/>
        <v>0</v>
      </c>
      <c r="W58" s="245">
        <f t="shared" si="30"/>
        <v>0</v>
      </c>
      <c r="X58" s="245">
        <f t="shared" si="30"/>
        <v>0</v>
      </c>
      <c r="Y58" s="245">
        <f t="shared" si="30"/>
        <v>0</v>
      </c>
      <c r="Z58" s="246">
        <f t="shared" si="30"/>
        <v>1.7850803585424799</v>
      </c>
      <c r="AA58" s="246">
        <f t="shared" si="30"/>
        <v>9.7428890866682316</v>
      </c>
      <c r="AB58" s="249">
        <f t="shared" si="9"/>
        <v>4.457955458444073</v>
      </c>
    </row>
    <row r="59" spans="1:29">
      <c r="D59" s="247">
        <f>SUM(D50:D58)</f>
        <v>17439.352246936651</v>
      </c>
      <c r="E59" s="247">
        <f>SUM(E50:E58)</f>
        <v>18100.9679482994</v>
      </c>
      <c r="F59" s="247">
        <f>SUM(F50:F58)</f>
        <v>16481.813528277929</v>
      </c>
      <c r="G59" s="247">
        <f t="shared" ref="G59:T59" si="33">SUM(G50:G58)</f>
        <v>21902.831565768924</v>
      </c>
      <c r="H59" s="247">
        <f t="shared" si="33"/>
        <v>27525.674834212732</v>
      </c>
      <c r="I59" s="247">
        <f t="shared" si="33"/>
        <v>27466.673086776646</v>
      </c>
      <c r="J59" s="247">
        <f t="shared" si="33"/>
        <v>23789.445416193052</v>
      </c>
      <c r="K59" s="247">
        <f t="shared" si="33"/>
        <v>20545.413928408008</v>
      </c>
      <c r="L59" s="247">
        <f t="shared" si="33"/>
        <v>18836.319853859728</v>
      </c>
      <c r="M59" s="247">
        <f t="shared" ref="M59" si="34">SUM(M50:M58)</f>
        <v>21652.039016532101</v>
      </c>
      <c r="N59" s="248">
        <f t="shared" si="33"/>
        <v>1811.3008221384296</v>
      </c>
      <c r="O59" s="248">
        <f t="shared" si="33"/>
        <v>2198.4660768932595</v>
      </c>
      <c r="P59" s="248">
        <f t="shared" si="33"/>
        <v>1988.6005801828546</v>
      </c>
      <c r="Q59" s="248">
        <f t="shared" si="33"/>
        <v>1853.2424698603243</v>
      </c>
      <c r="R59" s="248">
        <f t="shared" si="33"/>
        <v>0</v>
      </c>
      <c r="S59" s="248">
        <f t="shared" si="33"/>
        <v>0</v>
      </c>
      <c r="T59" s="248">
        <f t="shared" si="33"/>
        <v>0</v>
      </c>
      <c r="U59" s="248">
        <f>SUM(U50:U58)</f>
        <v>0</v>
      </c>
      <c r="V59" s="248">
        <f>SUM(V50:V58)</f>
        <v>0</v>
      </c>
      <c r="W59" s="248">
        <f>SUM(W50:W58)</f>
        <v>0</v>
      </c>
      <c r="X59" s="248">
        <f>SUM(X50:X58)</f>
        <v>0</v>
      </c>
      <c r="Y59" s="248">
        <f>SUM(Y50:Y58)</f>
        <v>0</v>
      </c>
      <c r="Z59" s="248">
        <f t="shared" ref="Z59:AA59" si="35">SUM(Z50:Z58)</f>
        <v>6199.0367182563095</v>
      </c>
      <c r="AA59" s="248">
        <f t="shared" si="35"/>
        <v>7851.6099490748702</v>
      </c>
      <c r="AB59" s="338">
        <f t="shared" si="9"/>
        <v>0.26658548834719653</v>
      </c>
    </row>
    <row r="62" spans="1:29">
      <c r="A62" s="243" t="s">
        <v>9</v>
      </c>
      <c r="B62" s="243" t="str">
        <f t="shared" ref="B62:AA62" si="36">B9</f>
        <v>Cantidad</v>
      </c>
      <c r="C62" s="243" t="str">
        <f t="shared" si="36"/>
        <v>(Miles Tm)</v>
      </c>
      <c r="D62" s="244">
        <f t="shared" ref="D62:E62" si="37">D9</f>
        <v>1121.9424399999998</v>
      </c>
      <c r="E62" s="244">
        <f t="shared" si="37"/>
        <v>1243.0921780000001</v>
      </c>
      <c r="F62" s="244">
        <f t="shared" si="36"/>
        <v>1246.1711079999998</v>
      </c>
      <c r="G62" s="244">
        <f t="shared" si="36"/>
        <v>1256.1313640000003</v>
      </c>
      <c r="H62" s="244">
        <f t="shared" si="36"/>
        <v>1262.237985</v>
      </c>
      <c r="I62" s="244">
        <f t="shared" si="36"/>
        <v>1405.5533140000002</v>
      </c>
      <c r="J62" s="244">
        <f t="shared" si="36"/>
        <v>1403.9670750000002</v>
      </c>
      <c r="K62" s="244">
        <f t="shared" si="36"/>
        <v>1402.417778</v>
      </c>
      <c r="L62" s="244">
        <f t="shared" si="36"/>
        <v>1751.5973160000001</v>
      </c>
      <c r="M62" s="244">
        <f t="shared" ref="M62" si="38">M9</f>
        <v>2492.4748870000003</v>
      </c>
      <c r="N62" s="245">
        <f t="shared" si="36"/>
        <v>187.35705999999999</v>
      </c>
      <c r="O62" s="245">
        <f t="shared" si="36"/>
        <v>220.39220299999999</v>
      </c>
      <c r="P62" s="245">
        <f t="shared" si="36"/>
        <v>192.59549999999999</v>
      </c>
      <c r="Q62" s="245">
        <f t="shared" si="36"/>
        <v>198.84464400000002</v>
      </c>
      <c r="R62" s="245">
        <f t="shared" si="36"/>
        <v>0</v>
      </c>
      <c r="S62" s="245">
        <f t="shared" si="36"/>
        <v>0</v>
      </c>
      <c r="T62" s="245">
        <f t="shared" si="36"/>
        <v>0</v>
      </c>
      <c r="U62" s="245">
        <f t="shared" si="36"/>
        <v>0</v>
      </c>
      <c r="V62" s="245">
        <f t="shared" si="36"/>
        <v>0</v>
      </c>
      <c r="W62" s="245">
        <f t="shared" si="36"/>
        <v>0</v>
      </c>
      <c r="X62" s="245">
        <f t="shared" si="36"/>
        <v>0</v>
      </c>
      <c r="Y62" s="245">
        <f t="shared" si="36"/>
        <v>0</v>
      </c>
      <c r="Z62" s="246">
        <f t="shared" si="36"/>
        <v>708.05645100000004</v>
      </c>
      <c r="AA62" s="246">
        <f t="shared" si="36"/>
        <v>799.18940699999996</v>
      </c>
      <c r="AB62" s="249">
        <f t="shared" ref="AB62:AB69" si="39">AA62/Z62-1</f>
        <v>0.12870860207726564</v>
      </c>
    </row>
    <row r="63" spans="1:29">
      <c r="A63" s="243" t="s">
        <v>16</v>
      </c>
      <c r="B63" s="243" t="str">
        <f t="shared" ref="B63:AA63" si="40">B13</f>
        <v>Cantidad</v>
      </c>
      <c r="C63" s="243" t="str">
        <f t="shared" si="40"/>
        <v>(Miles Oz. Tr.)</v>
      </c>
      <c r="D63" s="244">
        <f t="shared" ref="D63:E63" si="41">D13</f>
        <v>5967.3943619999991</v>
      </c>
      <c r="E63" s="244">
        <f t="shared" si="41"/>
        <v>6417.683814</v>
      </c>
      <c r="F63" s="244">
        <f t="shared" si="40"/>
        <v>6972.1969499999996</v>
      </c>
      <c r="G63" s="244">
        <f t="shared" si="40"/>
        <v>6334.5532089999997</v>
      </c>
      <c r="H63" s="244">
        <f t="shared" si="40"/>
        <v>6492.2497979999989</v>
      </c>
      <c r="I63" s="244">
        <f t="shared" si="40"/>
        <v>6427.0524130000013</v>
      </c>
      <c r="J63" s="244">
        <f t="shared" si="40"/>
        <v>6047.3659180000004</v>
      </c>
      <c r="K63" s="244">
        <f t="shared" si="40"/>
        <v>5323.3804000000009</v>
      </c>
      <c r="L63" s="244">
        <f t="shared" si="40"/>
        <v>5641.7128549999998</v>
      </c>
      <c r="M63" s="244">
        <f t="shared" ref="M63" si="42">M13</f>
        <v>5810.3506559999996</v>
      </c>
      <c r="N63" s="245">
        <f t="shared" si="40"/>
        <v>477.93622299999998</v>
      </c>
      <c r="O63" s="245">
        <f t="shared" si="40"/>
        <v>487.427548</v>
      </c>
      <c r="P63" s="245">
        <f t="shared" si="40"/>
        <v>478.367616</v>
      </c>
      <c r="Q63" s="245">
        <f t="shared" si="40"/>
        <v>444.60415699999999</v>
      </c>
      <c r="R63" s="245">
        <f t="shared" si="40"/>
        <v>0</v>
      </c>
      <c r="S63" s="245">
        <f t="shared" si="40"/>
        <v>0</v>
      </c>
      <c r="T63" s="245">
        <f t="shared" si="40"/>
        <v>0</v>
      </c>
      <c r="U63" s="245">
        <f t="shared" si="40"/>
        <v>0</v>
      </c>
      <c r="V63" s="245">
        <f t="shared" si="40"/>
        <v>0</v>
      </c>
      <c r="W63" s="245">
        <f t="shared" si="40"/>
        <v>0</v>
      </c>
      <c r="X63" s="245">
        <f t="shared" si="40"/>
        <v>0</v>
      </c>
      <c r="Y63" s="245">
        <f t="shared" si="40"/>
        <v>0</v>
      </c>
      <c r="Z63" s="246">
        <f t="shared" si="40"/>
        <v>1880.9937649999999</v>
      </c>
      <c r="AA63" s="246">
        <f t="shared" si="40"/>
        <v>1888.335544</v>
      </c>
      <c r="AB63" s="249">
        <f t="shared" si="39"/>
        <v>3.9031384030132621E-3</v>
      </c>
    </row>
    <row r="64" spans="1:29">
      <c r="A64" s="243" t="s">
        <v>19</v>
      </c>
      <c r="B64" s="243" t="str">
        <f t="shared" ref="B64:AA64" si="43">B17</f>
        <v>Cantidad</v>
      </c>
      <c r="C64" s="243" t="str">
        <f t="shared" si="43"/>
        <v>(Miles Tm.)</v>
      </c>
      <c r="D64" s="244">
        <f t="shared" ref="D64:E64" si="44">D17</f>
        <v>1272.656301</v>
      </c>
      <c r="E64" s="244">
        <f t="shared" si="44"/>
        <v>1457.1284639999999</v>
      </c>
      <c r="F64" s="244">
        <f t="shared" si="43"/>
        <v>1372.5174649999999</v>
      </c>
      <c r="G64" s="244">
        <f t="shared" si="43"/>
        <v>1314.0726309999998</v>
      </c>
      <c r="H64" s="244">
        <f t="shared" si="43"/>
        <v>1007.2882920000002</v>
      </c>
      <c r="I64" s="244">
        <f t="shared" si="43"/>
        <v>1016.2970770000001</v>
      </c>
      <c r="J64" s="244">
        <f t="shared" si="43"/>
        <v>1079.006396</v>
      </c>
      <c r="K64" s="244">
        <f t="shared" si="43"/>
        <v>1149.2442489999999</v>
      </c>
      <c r="L64" s="244">
        <f t="shared" si="43"/>
        <v>1217.306257</v>
      </c>
      <c r="M64" s="244">
        <f t="shared" ref="M64" si="45">M17</f>
        <v>1113.5895599999999</v>
      </c>
      <c r="N64" s="245">
        <f t="shared" si="43"/>
        <v>91.795159999999996</v>
      </c>
      <c r="O64" s="245">
        <f t="shared" si="43"/>
        <v>110.88611800000001</v>
      </c>
      <c r="P64" s="245">
        <f t="shared" si="43"/>
        <v>97.220105000000004</v>
      </c>
      <c r="Q64" s="245">
        <f t="shared" si="43"/>
        <v>70.558442999999997</v>
      </c>
      <c r="R64" s="245">
        <f t="shared" si="43"/>
        <v>0</v>
      </c>
      <c r="S64" s="245">
        <f t="shared" si="43"/>
        <v>0</v>
      </c>
      <c r="T64" s="245">
        <f t="shared" si="43"/>
        <v>0</v>
      </c>
      <c r="U64" s="245">
        <f t="shared" si="43"/>
        <v>0</v>
      </c>
      <c r="V64" s="245">
        <f t="shared" si="43"/>
        <v>0</v>
      </c>
      <c r="W64" s="245">
        <f t="shared" si="43"/>
        <v>0</v>
      </c>
      <c r="X64" s="245">
        <f t="shared" si="43"/>
        <v>0</v>
      </c>
      <c r="Y64" s="245">
        <f t="shared" si="43"/>
        <v>0</v>
      </c>
      <c r="Z64" s="246">
        <f t="shared" si="43"/>
        <v>355.74129599999998</v>
      </c>
      <c r="AA64" s="246">
        <f t="shared" si="43"/>
        <v>370.45982600000002</v>
      </c>
      <c r="AB64" s="249">
        <f t="shared" si="39"/>
        <v>4.1374251922666971E-2</v>
      </c>
    </row>
    <row r="65" spans="1:28">
      <c r="A65" s="243" t="s">
        <v>22</v>
      </c>
      <c r="B65" s="243" t="str">
        <f t="shared" ref="B65:AA65" si="46">B21</f>
        <v>Cantidad</v>
      </c>
      <c r="C65" s="243" t="str">
        <f t="shared" si="46"/>
        <v>(Millones Oz. Tr.)</v>
      </c>
      <c r="D65" s="244">
        <f t="shared" ref="D65:E65" si="47">D21</f>
        <v>40.359925000000004</v>
      </c>
      <c r="E65" s="244">
        <f t="shared" si="47"/>
        <v>39.690534</v>
      </c>
      <c r="F65" s="244">
        <f t="shared" si="46"/>
        <v>16.249386999999999</v>
      </c>
      <c r="G65" s="244">
        <f t="shared" si="46"/>
        <v>6.1603579999999996</v>
      </c>
      <c r="H65" s="244">
        <f t="shared" si="46"/>
        <v>6.5176329999999991</v>
      </c>
      <c r="I65" s="244">
        <f t="shared" si="46"/>
        <v>6.9355449999999994</v>
      </c>
      <c r="J65" s="244">
        <f t="shared" si="46"/>
        <v>21.204193999999998</v>
      </c>
      <c r="K65" s="244">
        <f t="shared" si="46"/>
        <v>17.144968000000002</v>
      </c>
      <c r="L65" s="244">
        <f t="shared" si="46"/>
        <v>8.9059539999999995</v>
      </c>
      <c r="M65" s="244">
        <f t="shared" ref="M65" si="48">M21</f>
        <v>7.1238969999999986</v>
      </c>
      <c r="N65" s="245">
        <f t="shared" si="46"/>
        <v>0.44813199999999997</v>
      </c>
      <c r="O65" s="245">
        <f t="shared" si="46"/>
        <v>0.52719899999999997</v>
      </c>
      <c r="P65" s="245">
        <f t="shared" si="46"/>
        <v>0.50540399999999996</v>
      </c>
      <c r="Q65" s="245">
        <f t="shared" si="46"/>
        <v>0.44653199999999998</v>
      </c>
      <c r="R65" s="245">
        <f t="shared" si="46"/>
        <v>0</v>
      </c>
      <c r="S65" s="245">
        <f t="shared" si="46"/>
        <v>0</v>
      </c>
      <c r="T65" s="245">
        <f t="shared" si="46"/>
        <v>0</v>
      </c>
      <c r="U65" s="245">
        <f t="shared" si="46"/>
        <v>0</v>
      </c>
      <c r="V65" s="245">
        <f t="shared" si="46"/>
        <v>0</v>
      </c>
      <c r="W65" s="245">
        <f t="shared" si="46"/>
        <v>0</v>
      </c>
      <c r="X65" s="245">
        <f t="shared" si="46"/>
        <v>0</v>
      </c>
      <c r="Y65" s="245">
        <f t="shared" si="46"/>
        <v>0</v>
      </c>
      <c r="Z65" s="246">
        <f t="shared" si="46"/>
        <v>2.441827</v>
      </c>
      <c r="AA65" s="246">
        <f t="shared" si="46"/>
        <v>1.9272669999999998</v>
      </c>
      <c r="AB65" s="249">
        <f t="shared" si="39"/>
        <v>-0.21072745939822934</v>
      </c>
    </row>
    <row r="66" spans="1:28">
      <c r="A66" s="243" t="s">
        <v>25</v>
      </c>
      <c r="B66" s="243" t="str">
        <f t="shared" ref="B66:AA66" si="49">B25</f>
        <v>Cantidad</v>
      </c>
      <c r="C66" s="243" t="str">
        <f t="shared" si="49"/>
        <v>(Miles Tm.)</v>
      </c>
      <c r="D66" s="244">
        <f t="shared" ref="D66:E66" si="50">D25</f>
        <v>416.63830099999996</v>
      </c>
      <c r="E66" s="244">
        <f t="shared" si="50"/>
        <v>524.99695399999996</v>
      </c>
      <c r="F66" s="244">
        <f t="shared" si="49"/>
        <v>681.50997000000007</v>
      </c>
      <c r="G66" s="244">
        <f t="shared" si="49"/>
        <v>769.96655399999997</v>
      </c>
      <c r="H66" s="244">
        <f t="shared" si="49"/>
        <v>987.66261499999996</v>
      </c>
      <c r="I66" s="244">
        <f t="shared" si="49"/>
        <v>1169.6602899999998</v>
      </c>
      <c r="J66" s="244">
        <f t="shared" si="49"/>
        <v>855.15530999999999</v>
      </c>
      <c r="K66" s="244">
        <f t="shared" si="49"/>
        <v>771.45482600000003</v>
      </c>
      <c r="L66" s="244">
        <f t="shared" si="49"/>
        <v>934.00496799999996</v>
      </c>
      <c r="M66" s="244">
        <f t="shared" ref="M66" si="51">M25</f>
        <v>941.4404310000001</v>
      </c>
      <c r="N66" s="245">
        <f t="shared" si="49"/>
        <v>51.935699000000007</v>
      </c>
      <c r="O66" s="245">
        <f t="shared" si="49"/>
        <v>78.210219999999993</v>
      </c>
      <c r="P66" s="245">
        <f t="shared" si="49"/>
        <v>40.204238000000004</v>
      </c>
      <c r="Q66" s="245">
        <f t="shared" si="49"/>
        <v>58.485568999999998</v>
      </c>
      <c r="R66" s="245">
        <f t="shared" si="49"/>
        <v>0</v>
      </c>
      <c r="S66" s="245">
        <f t="shared" si="49"/>
        <v>0</v>
      </c>
      <c r="T66" s="245">
        <f t="shared" si="49"/>
        <v>0</v>
      </c>
      <c r="U66" s="245">
        <f t="shared" si="49"/>
        <v>0</v>
      </c>
      <c r="V66" s="245">
        <f t="shared" si="49"/>
        <v>0</v>
      </c>
      <c r="W66" s="245">
        <f t="shared" si="49"/>
        <v>0</v>
      </c>
      <c r="X66" s="245">
        <f t="shared" si="49"/>
        <v>0</v>
      </c>
      <c r="Y66" s="245">
        <f t="shared" si="49"/>
        <v>0</v>
      </c>
      <c r="Z66" s="246">
        <f t="shared" si="49"/>
        <v>273.460171</v>
      </c>
      <c r="AA66" s="246">
        <f t="shared" si="49"/>
        <v>228.83572599999999</v>
      </c>
      <c r="AB66" s="249">
        <f t="shared" si="39"/>
        <v>-0.16318444048658187</v>
      </c>
    </row>
    <row r="67" spans="1:28">
      <c r="A67" s="243" t="s">
        <v>26</v>
      </c>
      <c r="B67" s="243" t="str">
        <f t="shared" ref="B67:AA67" si="52">B33</f>
        <v>Cantidad</v>
      </c>
      <c r="C67" s="243" t="str">
        <f t="shared" si="52"/>
        <v>(Miles Tm.)</v>
      </c>
      <c r="D67" s="244">
        <f t="shared" ref="D67:E67" si="53">D33</f>
        <v>41.111622999999994</v>
      </c>
      <c r="E67" s="244">
        <f t="shared" si="53"/>
        <v>38.263483999999998</v>
      </c>
      <c r="F67" s="244">
        <f t="shared" si="52"/>
        <v>37.071149999999996</v>
      </c>
      <c r="G67" s="244">
        <f t="shared" si="52"/>
        <v>39.02278900000001</v>
      </c>
      <c r="H67" s="244">
        <f t="shared" si="52"/>
        <v>31.899958000000002</v>
      </c>
      <c r="I67" s="244">
        <f t="shared" si="52"/>
        <v>25.545801000000001</v>
      </c>
      <c r="J67" s="244">
        <f t="shared" si="52"/>
        <v>23.824697999999998</v>
      </c>
      <c r="K67" s="244">
        <f t="shared" si="52"/>
        <v>24.640213999999997</v>
      </c>
      <c r="L67" s="244">
        <f t="shared" si="52"/>
        <v>20.111056000000001</v>
      </c>
      <c r="M67" s="244">
        <f t="shared" ref="M67" si="54">M33</f>
        <v>11.359424000000001</v>
      </c>
      <c r="N67" s="245">
        <f t="shared" si="52"/>
        <v>1.31603</v>
      </c>
      <c r="O67" s="245">
        <f t="shared" si="52"/>
        <v>1.4013199999999999</v>
      </c>
      <c r="P67" s="245">
        <f t="shared" si="52"/>
        <v>1.811407</v>
      </c>
      <c r="Q67" s="245">
        <f t="shared" si="52"/>
        <v>1.7588790000000001</v>
      </c>
      <c r="R67" s="245">
        <f t="shared" si="52"/>
        <v>0</v>
      </c>
      <c r="S67" s="245">
        <f t="shared" si="52"/>
        <v>0</v>
      </c>
      <c r="T67" s="245">
        <f t="shared" si="52"/>
        <v>0</v>
      </c>
      <c r="U67" s="245">
        <f t="shared" si="52"/>
        <v>0</v>
      </c>
      <c r="V67" s="245">
        <f t="shared" si="52"/>
        <v>0</v>
      </c>
      <c r="W67" s="245">
        <f t="shared" si="52"/>
        <v>0</v>
      </c>
      <c r="X67" s="245">
        <f t="shared" si="52"/>
        <v>0</v>
      </c>
      <c r="Y67" s="245">
        <f t="shared" si="52"/>
        <v>0</v>
      </c>
      <c r="Z67" s="246">
        <f t="shared" si="52"/>
        <v>6.1830119999999997</v>
      </c>
      <c r="AA67" s="246">
        <f t="shared" si="52"/>
        <v>6.287636</v>
      </c>
      <c r="AB67" s="249">
        <f t="shared" si="39"/>
        <v>1.6921202805364244E-2</v>
      </c>
    </row>
    <row r="68" spans="1:28">
      <c r="A68" s="243" t="s">
        <v>27</v>
      </c>
      <c r="B68" s="243" t="str">
        <f t="shared" ref="B68:Y68" si="55">B37</f>
        <v>Cantidad</v>
      </c>
      <c r="C68" s="243" t="str">
        <f t="shared" si="55"/>
        <v>(Miles Tm.)</v>
      </c>
      <c r="D68" s="244">
        <f>D29</f>
        <v>7.1777029999999993</v>
      </c>
      <c r="E68" s="244">
        <f>E29</f>
        <v>6.8411140000000001</v>
      </c>
      <c r="F68" s="244">
        <f>F29</f>
        <v>6.7791249999999996</v>
      </c>
      <c r="G68" s="244">
        <f t="shared" ref="G68:R68" si="56">G29</f>
        <v>7.959607000000001</v>
      </c>
      <c r="H68" s="244">
        <f t="shared" si="56"/>
        <v>9.2557340000000003</v>
      </c>
      <c r="I68" s="244">
        <f t="shared" si="56"/>
        <v>9.7848829999999989</v>
      </c>
      <c r="J68" s="244">
        <f t="shared" si="56"/>
        <v>10.373199999999999</v>
      </c>
      <c r="K68" s="244">
        <f t="shared" si="56"/>
        <v>11.368120999999999</v>
      </c>
      <c r="L68" s="244">
        <f t="shared" si="56"/>
        <v>11.646831000000001</v>
      </c>
      <c r="M68" s="244">
        <f t="shared" ref="M68" si="57">M29</f>
        <v>19.371681000000002</v>
      </c>
      <c r="N68" s="245">
        <f t="shared" si="56"/>
        <v>1.3887149999999999</v>
      </c>
      <c r="O68" s="245">
        <f t="shared" si="56"/>
        <v>0.74816900000000008</v>
      </c>
      <c r="P68" s="245">
        <f t="shared" si="56"/>
        <v>1.2708390000000001</v>
      </c>
      <c r="Q68" s="245">
        <f t="shared" si="56"/>
        <v>1.45044</v>
      </c>
      <c r="R68" s="245">
        <f t="shared" si="56"/>
        <v>0</v>
      </c>
      <c r="S68" s="245">
        <f t="shared" si="55"/>
        <v>0</v>
      </c>
      <c r="T68" s="245">
        <f t="shared" si="55"/>
        <v>0</v>
      </c>
      <c r="U68" s="245">
        <f t="shared" si="55"/>
        <v>0</v>
      </c>
      <c r="V68" s="245">
        <f t="shared" si="55"/>
        <v>0</v>
      </c>
      <c r="W68" s="245">
        <f t="shared" si="55"/>
        <v>0</v>
      </c>
      <c r="X68" s="245">
        <f t="shared" si="55"/>
        <v>0</v>
      </c>
      <c r="Y68" s="245">
        <f t="shared" si="55"/>
        <v>0</v>
      </c>
      <c r="Z68" s="246">
        <f t="shared" ref="Z68:AA68" si="58">Z29</f>
        <v>3.8802180000000002</v>
      </c>
      <c r="AA68" s="246">
        <f t="shared" si="58"/>
        <v>4.8581630000000002</v>
      </c>
      <c r="AB68" s="249">
        <f t="shared" si="39"/>
        <v>0.2520335197661574</v>
      </c>
    </row>
    <row r="69" spans="1:28">
      <c r="A69" s="243" t="s">
        <v>29</v>
      </c>
      <c r="B69" s="243" t="str">
        <f t="shared" ref="B69:AA69" si="59">B37</f>
        <v>Cantidad</v>
      </c>
      <c r="C69" s="243" t="str">
        <f t="shared" si="59"/>
        <v>(Miles Tm.)</v>
      </c>
      <c r="D69" s="244">
        <f t="shared" ref="D69:E69" si="60">D37</f>
        <v>16.161707224000001</v>
      </c>
      <c r="E69" s="244">
        <f t="shared" si="60"/>
        <v>18.255964222000003</v>
      </c>
      <c r="F69" s="244">
        <f t="shared" si="59"/>
        <v>12.22908432</v>
      </c>
      <c r="G69" s="244">
        <f t="shared" si="59"/>
        <v>16.693816124000001</v>
      </c>
      <c r="H69" s="244">
        <f t="shared" si="59"/>
        <v>19.451061820000003</v>
      </c>
      <c r="I69" s="244">
        <f t="shared" si="59"/>
        <v>17.877299378000004</v>
      </c>
      <c r="J69" s="244">
        <f t="shared" si="59"/>
        <v>18.448508504000003</v>
      </c>
      <c r="K69" s="244">
        <f t="shared" si="59"/>
        <v>16.477174284000004</v>
      </c>
      <c r="L69" s="244">
        <f t="shared" ref="L69:M69" si="61">L37</f>
        <v>17.754669809999999</v>
      </c>
      <c r="M69" s="244">
        <f t="shared" si="61"/>
        <v>24.406133279999999</v>
      </c>
      <c r="N69" s="245">
        <f t="shared" si="59"/>
        <v>1.5830079720000001</v>
      </c>
      <c r="O69" s="245">
        <f t="shared" si="59"/>
        <v>1.743105474</v>
      </c>
      <c r="P69" s="245">
        <f t="shared" si="59"/>
        <v>1.9565257700000001</v>
      </c>
      <c r="Q69" s="245">
        <f t="shared" si="59"/>
        <v>1.3996478880000001</v>
      </c>
      <c r="R69" s="245">
        <f t="shared" si="59"/>
        <v>0</v>
      </c>
      <c r="S69" s="245">
        <f t="shared" si="59"/>
        <v>0</v>
      </c>
      <c r="T69" s="245">
        <f t="shared" si="59"/>
        <v>0</v>
      </c>
      <c r="U69" s="245">
        <f t="shared" si="59"/>
        <v>0</v>
      </c>
      <c r="V69" s="245">
        <f t="shared" si="59"/>
        <v>0</v>
      </c>
      <c r="W69" s="245">
        <f t="shared" si="59"/>
        <v>0</v>
      </c>
      <c r="X69" s="245">
        <f t="shared" si="59"/>
        <v>0</v>
      </c>
      <c r="Y69" s="245">
        <f t="shared" si="59"/>
        <v>0</v>
      </c>
      <c r="Z69" s="246">
        <f t="shared" si="59"/>
        <v>7.355011450000001</v>
      </c>
      <c r="AA69" s="246">
        <f t="shared" si="59"/>
        <v>6.6822871040000003</v>
      </c>
      <c r="AB69" s="249">
        <f t="shared" si="39"/>
        <v>-9.1464758494699594E-2</v>
      </c>
    </row>
    <row r="70" spans="1:28">
      <c r="AB70" s="21"/>
    </row>
    <row r="72" spans="1:28">
      <c r="S72" s="223"/>
      <c r="T72" s="223"/>
      <c r="U72" s="223"/>
      <c r="V72" s="223"/>
      <c r="W72" s="223"/>
      <c r="X72" s="223"/>
      <c r="Y72" s="223"/>
      <c r="Z72" s="223"/>
      <c r="AA72" s="223"/>
      <c r="AB72" s="216"/>
    </row>
    <row r="75" spans="1:28">
      <c r="J75" s="12" t="s">
        <v>262</v>
      </c>
      <c r="K75" s="224">
        <v>187.35705999999999</v>
      </c>
      <c r="L75" s="216">
        <v>477.93622299999998</v>
      </c>
      <c r="M75" s="224">
        <v>91.795159999999996</v>
      </c>
      <c r="N75" s="293">
        <v>0.44813199999999997</v>
      </c>
      <c r="O75" s="216">
        <v>51.935699000000007</v>
      </c>
      <c r="P75" s="293">
        <v>1.31603</v>
      </c>
      <c r="Q75" s="293">
        <v>1.3887149999999999</v>
      </c>
      <c r="R75" s="293">
        <v>1.5830079720000001</v>
      </c>
      <c r="S75" s="293">
        <v>3.6352076477878725</v>
      </c>
      <c r="T75" s="216">
        <v>1811.3008221384296</v>
      </c>
      <c r="U75" s="293"/>
      <c r="V75" s="293"/>
      <c r="W75" s="216"/>
    </row>
    <row r="76" spans="1:28">
      <c r="J76" s="12" t="s">
        <v>701</v>
      </c>
      <c r="K76" s="224">
        <v>220.39220299999999</v>
      </c>
      <c r="L76" s="216">
        <v>487.427548</v>
      </c>
      <c r="M76" s="224">
        <v>110.88611800000001</v>
      </c>
      <c r="N76" s="293">
        <v>0.52719899999999997</v>
      </c>
      <c r="O76" s="216">
        <v>78.210219999999993</v>
      </c>
      <c r="P76" s="293">
        <v>1.4013199999999999</v>
      </c>
      <c r="Q76" s="293">
        <v>0.74816900000000008</v>
      </c>
      <c r="R76" s="293">
        <v>1.743105474</v>
      </c>
      <c r="S76" s="293">
        <v>3.4352120802236534</v>
      </c>
      <c r="T76" s="216">
        <v>2198.4660768932595</v>
      </c>
      <c r="U76" s="293"/>
      <c r="V76" s="293"/>
      <c r="W76" s="216"/>
    </row>
    <row r="77" spans="1:28">
      <c r="J77" s="12" t="s">
        <v>264</v>
      </c>
      <c r="K77" s="224">
        <v>192.59549999999999</v>
      </c>
      <c r="L77" s="216">
        <v>478.367616</v>
      </c>
      <c r="M77" s="224">
        <v>97.220105000000004</v>
      </c>
      <c r="N77" s="293">
        <v>0.50540399999999996</v>
      </c>
      <c r="O77" s="216">
        <v>40.204238000000004</v>
      </c>
      <c r="P77" s="293">
        <v>1.811407</v>
      </c>
      <c r="Q77" s="293">
        <v>1.2708390000000001</v>
      </c>
      <c r="R77" s="293">
        <v>1.9565257700000001</v>
      </c>
      <c r="S77" s="293">
        <v>2.2047326032046222</v>
      </c>
      <c r="T77" s="216">
        <v>1988.6005801828546</v>
      </c>
      <c r="U77" s="175"/>
      <c r="V77" s="175"/>
      <c r="W77" s="175"/>
    </row>
    <row r="78" spans="1:28">
      <c r="J78" s="12" t="s">
        <v>265</v>
      </c>
      <c r="K78" s="224">
        <v>198.84464400000002</v>
      </c>
      <c r="L78" s="216">
        <v>444.60415699999999</v>
      </c>
      <c r="M78" s="224">
        <v>70.558442999999997</v>
      </c>
      <c r="N78" s="293">
        <v>0.44653199999999998</v>
      </c>
      <c r="O78" s="216">
        <v>58.485568999999998</v>
      </c>
      <c r="P78" s="293">
        <v>1.7588790000000001</v>
      </c>
      <c r="Q78" s="293">
        <v>1.45044</v>
      </c>
      <c r="R78" s="293">
        <v>1.3996478880000001</v>
      </c>
      <c r="S78" s="293">
        <v>0.46773675545208349</v>
      </c>
      <c r="T78" s="216">
        <v>1853.2424698603243</v>
      </c>
      <c r="U78" s="293"/>
      <c r="V78" s="293"/>
      <c r="W78" s="216"/>
    </row>
    <row r="79" spans="1:28">
      <c r="L79" s="10"/>
      <c r="M79" s="10"/>
      <c r="N79" s="216"/>
      <c r="O79" s="216"/>
      <c r="P79" s="216"/>
      <c r="Q79" s="293"/>
      <c r="R79" s="216"/>
      <c r="S79" s="293"/>
      <c r="T79" s="293"/>
      <c r="U79" s="293"/>
      <c r="V79" s="293"/>
      <c r="W79" s="216"/>
    </row>
    <row r="80" spans="1:28">
      <c r="J80" s="12">
        <v>2016</v>
      </c>
      <c r="K80" s="224">
        <v>708.05645100000004</v>
      </c>
      <c r="L80" s="216">
        <v>1880.9937649999999</v>
      </c>
      <c r="M80" s="216">
        <v>355.74129599999998</v>
      </c>
      <c r="N80" s="293">
        <v>2.441827</v>
      </c>
      <c r="O80" s="216">
        <v>273.460171</v>
      </c>
      <c r="P80" s="293">
        <v>6.1830119999999997</v>
      </c>
      <c r="Q80" s="293">
        <v>3.8802180000000002</v>
      </c>
      <c r="R80" s="293">
        <v>7.355011450000001</v>
      </c>
      <c r="S80" s="293">
        <v>1.7850803585424799</v>
      </c>
      <c r="T80" s="216">
        <v>6199.0367182563095</v>
      </c>
      <c r="U80" s="293"/>
      <c r="V80" s="293"/>
      <c r="W80" s="216"/>
    </row>
    <row r="81" spans="10:24">
      <c r="J81" s="12">
        <v>2017</v>
      </c>
      <c r="K81" s="224">
        <v>799.18940699999996</v>
      </c>
      <c r="L81" s="216">
        <v>1888.335544</v>
      </c>
      <c r="M81" s="216">
        <v>370.45982600000002</v>
      </c>
      <c r="N81" s="293">
        <v>1.9272669999999998</v>
      </c>
      <c r="O81" s="216">
        <v>228.83572599999999</v>
      </c>
      <c r="P81" s="293">
        <v>6.287636</v>
      </c>
      <c r="Q81" s="293">
        <v>4.8581630000000002</v>
      </c>
      <c r="R81" s="293">
        <v>6.6822871040000003</v>
      </c>
      <c r="S81" s="293">
        <v>9.7428890866682316</v>
      </c>
      <c r="T81" s="216">
        <v>7851.6099490748702</v>
      </c>
      <c r="U81" s="293"/>
      <c r="V81" s="293"/>
      <c r="W81" s="216"/>
    </row>
    <row r="82" spans="10:24">
      <c r="J82" s="12" t="s">
        <v>38</v>
      </c>
      <c r="K82" s="468">
        <v>0.12870860207726564</v>
      </c>
      <c r="L82" s="468">
        <v>3.9031384030132621E-3</v>
      </c>
      <c r="M82" s="468">
        <v>4.1374251922666971E-2</v>
      </c>
      <c r="N82" s="468">
        <v>-0.21072745939822934</v>
      </c>
      <c r="O82" s="468">
        <v>-0.16318444048658187</v>
      </c>
      <c r="P82" s="468">
        <v>1.6921202805364244E-2</v>
      </c>
      <c r="Q82" s="468">
        <v>0.2520335197661574</v>
      </c>
      <c r="R82" s="468">
        <v>-9.1464758494699594E-2</v>
      </c>
      <c r="S82" s="468">
        <v>4.457955458444073</v>
      </c>
      <c r="T82" s="468">
        <v>0.26658548834719653</v>
      </c>
      <c r="U82" s="293"/>
      <c r="V82" s="293"/>
      <c r="W82" s="216"/>
    </row>
    <row r="83" spans="10:24">
      <c r="L83" s="10"/>
      <c r="M83" s="10"/>
      <c r="N83" s="216"/>
      <c r="O83" s="216"/>
      <c r="P83" s="216"/>
      <c r="Q83" s="293"/>
      <c r="R83" s="216"/>
      <c r="S83" s="293"/>
      <c r="T83" s="293"/>
      <c r="U83" s="293"/>
      <c r="V83" s="293"/>
      <c r="W83" s="216"/>
    </row>
    <row r="84" spans="10:24">
      <c r="L84" s="10"/>
      <c r="M84" s="10"/>
      <c r="N84" s="216"/>
      <c r="O84" s="216"/>
      <c r="P84" s="216"/>
      <c r="Q84" s="293"/>
      <c r="R84" s="216"/>
      <c r="S84" s="293"/>
      <c r="T84" s="293"/>
      <c r="U84" s="293"/>
      <c r="V84" s="293"/>
      <c r="W84" s="216"/>
    </row>
    <row r="85" spans="10:24">
      <c r="L85" s="10"/>
      <c r="M85" s="10"/>
      <c r="N85" s="216"/>
      <c r="O85" s="216"/>
      <c r="P85" s="216"/>
      <c r="Q85" s="293"/>
      <c r="R85" s="216"/>
      <c r="S85" s="293"/>
      <c r="T85" s="293"/>
      <c r="U85" s="293"/>
      <c r="V85" s="293"/>
      <c r="W85" s="216"/>
    </row>
    <row r="86" spans="10:24">
      <c r="L86" s="10"/>
      <c r="M86" s="10"/>
      <c r="N86" s="216"/>
      <c r="O86" s="216"/>
      <c r="P86" s="216"/>
      <c r="Q86" s="293"/>
      <c r="R86" s="216"/>
      <c r="S86" s="293"/>
      <c r="T86" s="293"/>
      <c r="U86" s="293"/>
      <c r="V86" s="293"/>
      <c r="W86" s="216"/>
    </row>
    <row r="87" spans="10:24">
      <c r="L87" s="10"/>
      <c r="M87" s="10"/>
      <c r="O87" s="216"/>
      <c r="P87" s="216"/>
      <c r="Q87" s="216"/>
      <c r="R87" s="293"/>
      <c r="S87" s="216"/>
      <c r="T87" s="293"/>
      <c r="U87" s="293"/>
      <c r="V87" s="293"/>
      <c r="W87" s="293"/>
      <c r="X87" s="216"/>
    </row>
    <row r="88" spans="10:24">
      <c r="O88" s="216"/>
      <c r="P88" s="216"/>
      <c r="Q88" s="216"/>
      <c r="R88" s="293"/>
      <c r="S88" s="216"/>
      <c r="T88" s="293"/>
      <c r="U88" s="293"/>
      <c r="V88" s="293"/>
      <c r="W88" s="293"/>
      <c r="X88" s="216"/>
    </row>
    <row r="94" spans="10:24">
      <c r="L94" s="335"/>
      <c r="M94" s="335"/>
      <c r="N94" s="336"/>
      <c r="O94" s="337"/>
      <c r="P94" s="336"/>
      <c r="Q94" s="337"/>
      <c r="R94" s="337"/>
      <c r="S94" s="337"/>
      <c r="T94" s="293"/>
      <c r="U94" s="216"/>
    </row>
    <row r="95" spans="10:24">
      <c r="L95" s="335"/>
      <c r="M95" s="335"/>
      <c r="N95" s="336"/>
      <c r="O95" s="337"/>
      <c r="P95" s="336"/>
      <c r="Q95" s="337"/>
      <c r="R95" s="337"/>
      <c r="S95" s="337"/>
      <c r="T95" s="293"/>
      <c r="U95" s="216"/>
    </row>
    <row r="96" spans="10:24">
      <c r="L96" s="334"/>
      <c r="M96" s="334"/>
      <c r="N96" s="334"/>
      <c r="O96" s="334"/>
      <c r="P96" s="334"/>
      <c r="Q96" s="334"/>
      <c r="R96" s="334"/>
      <c r="S96" s="334"/>
      <c r="T96" s="334"/>
      <c r="U96" s="334"/>
    </row>
  </sheetData>
  <mergeCells count="2">
    <mergeCell ref="Z4:AA4"/>
    <mergeCell ref="F4:L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/>
    <pageSetUpPr fitToPage="1"/>
  </sheetPr>
  <dimension ref="A1:O30"/>
  <sheetViews>
    <sheetView zoomScale="130" zoomScaleNormal="130" workbookViewId="0">
      <pane xSplit="1" topLeftCell="B1" activePane="topRight" state="frozen"/>
      <selection activeCell="B24" sqref="B24"/>
      <selection pane="topRight"/>
    </sheetView>
  </sheetViews>
  <sheetFormatPr baseColWidth="10" defaultColWidth="11.5703125" defaultRowHeight="12"/>
  <cols>
    <col min="1" max="1" width="37.5703125" style="12" customWidth="1"/>
    <col min="2" max="10" width="6.7109375" style="12" customWidth="1"/>
    <col min="11" max="12" width="8.28515625" style="12" customWidth="1"/>
    <col min="13" max="13" width="11.5703125" style="12"/>
    <col min="14" max="14" width="11.5703125" style="10"/>
    <col min="15" max="15" width="15.7109375" style="10" bestFit="1" customWidth="1"/>
    <col min="16" max="16384" width="11.5703125" style="10"/>
  </cols>
  <sheetData>
    <row r="1" spans="1:15" ht="15">
      <c r="A1" s="1" t="s">
        <v>230</v>
      </c>
    </row>
    <row r="2" spans="1:15" ht="15">
      <c r="A2" s="15" t="s">
        <v>152</v>
      </c>
    </row>
    <row r="4" spans="1:15" ht="14.45" customHeight="1">
      <c r="A4" s="181" t="s">
        <v>76</v>
      </c>
      <c r="B4" s="320">
        <v>2008</v>
      </c>
      <c r="C4" s="320">
        <v>2009</v>
      </c>
      <c r="D4" s="320">
        <v>2010</v>
      </c>
      <c r="E4" s="320">
        <v>2011</v>
      </c>
      <c r="F4" s="320">
        <v>2012</v>
      </c>
      <c r="G4" s="320">
        <v>2013</v>
      </c>
      <c r="H4" s="320">
        <v>2014</v>
      </c>
      <c r="I4" s="320">
        <v>2015</v>
      </c>
      <c r="J4" s="226">
        <v>2016</v>
      </c>
      <c r="K4" s="296">
        <v>2016</v>
      </c>
      <c r="L4" s="277">
        <v>2017</v>
      </c>
      <c r="M4" s="296" t="s">
        <v>38</v>
      </c>
      <c r="N4" s="179" t="s">
        <v>72</v>
      </c>
    </row>
    <row r="5" spans="1:15" s="54" customFormat="1">
      <c r="A5" s="182"/>
      <c r="B5" s="183"/>
      <c r="C5" s="183"/>
      <c r="D5" s="183"/>
      <c r="E5" s="183"/>
      <c r="F5" s="183"/>
      <c r="G5" s="183"/>
      <c r="H5" s="183"/>
      <c r="I5" s="183"/>
      <c r="J5" s="183"/>
      <c r="K5" s="566" t="s">
        <v>697</v>
      </c>
      <c r="L5" s="566"/>
      <c r="M5" s="183"/>
      <c r="N5" s="183"/>
    </row>
    <row r="6" spans="1:15" s="32" customFormat="1">
      <c r="A6" s="71"/>
      <c r="B6" s="31"/>
      <c r="C6" s="31"/>
      <c r="D6" s="31"/>
      <c r="E6" s="31"/>
      <c r="F6" s="31"/>
      <c r="G6" s="31"/>
      <c r="H6" s="31"/>
      <c r="L6" s="31"/>
      <c r="M6" s="31"/>
      <c r="N6" s="31"/>
    </row>
    <row r="7" spans="1:15" s="32" customFormat="1" ht="12.75" thickBot="1">
      <c r="A7" s="30"/>
      <c r="B7" s="31"/>
      <c r="C7" s="31"/>
      <c r="D7" s="31"/>
      <c r="E7" s="31"/>
      <c r="F7" s="31"/>
      <c r="G7" s="31"/>
      <c r="H7" s="31"/>
      <c r="K7" s="301"/>
      <c r="L7" s="302"/>
      <c r="M7" s="31"/>
      <c r="N7" s="31"/>
    </row>
    <row r="8" spans="1:15">
      <c r="H8" s="28"/>
      <c r="K8" s="303"/>
      <c r="L8" s="304"/>
      <c r="M8" s="297"/>
      <c r="N8" s="281"/>
    </row>
    <row r="9" spans="1:15">
      <c r="A9" s="184" t="s">
        <v>358</v>
      </c>
      <c r="B9" s="185">
        <v>18100.9679482994</v>
      </c>
      <c r="C9" s="185">
        <v>16481.813528277929</v>
      </c>
      <c r="D9" s="185">
        <v>21902.831565768924</v>
      </c>
      <c r="E9" s="185">
        <v>27525.674834212732</v>
      </c>
      <c r="F9" s="185">
        <v>27466.673086776646</v>
      </c>
      <c r="G9" s="185">
        <v>23789.445416193055</v>
      </c>
      <c r="H9" s="185">
        <v>20545.413928408008</v>
      </c>
      <c r="I9" s="230">
        <v>18836.319853859721</v>
      </c>
      <c r="J9" s="330">
        <v>21652.039016532108</v>
      </c>
      <c r="K9" s="305">
        <v>6199.0367182563086</v>
      </c>
      <c r="L9" s="306">
        <v>7851.6099490748675</v>
      </c>
      <c r="M9" s="299">
        <f>L9/K9-1</f>
        <v>0.26658548834719631</v>
      </c>
      <c r="N9" s="282">
        <f>L9/$L$24</f>
        <v>0.59331182282579609</v>
      </c>
    </row>
    <row r="10" spans="1:15">
      <c r="A10" s="184" t="s">
        <v>322</v>
      </c>
      <c r="B10" s="185">
        <v>175.89179999999999</v>
      </c>
      <c r="C10" s="185">
        <v>148.02010000000001</v>
      </c>
      <c r="D10" s="185">
        <v>251.68170000000003</v>
      </c>
      <c r="E10" s="185">
        <v>491.9676</v>
      </c>
      <c r="F10" s="185">
        <v>722.2650000000001</v>
      </c>
      <c r="G10" s="185">
        <v>721.94380000000012</v>
      </c>
      <c r="H10" s="185">
        <v>663.60569999999996</v>
      </c>
      <c r="I10" s="230">
        <v>697.67470000000003</v>
      </c>
      <c r="J10" s="330">
        <v>639.86619999999994</v>
      </c>
      <c r="K10" s="305">
        <v>205.92519999999999</v>
      </c>
      <c r="L10" s="306">
        <v>155.5881</v>
      </c>
      <c r="M10" s="299">
        <f t="shared" ref="M10:M21" si="0">L10/K10-1</f>
        <v>-0.24444361350626342</v>
      </c>
      <c r="N10" s="282">
        <f t="shared" ref="N10:N21" si="1">L10/$L$24</f>
        <v>1.1757112212620692E-2</v>
      </c>
    </row>
    <row r="11" spans="1:15">
      <c r="A11" s="184" t="s">
        <v>323</v>
      </c>
      <c r="B11" s="185">
        <v>908.78440000000012</v>
      </c>
      <c r="C11" s="185">
        <v>570.93029999999999</v>
      </c>
      <c r="D11" s="185">
        <v>949.29350000000011</v>
      </c>
      <c r="E11" s="185">
        <v>1129.5879</v>
      </c>
      <c r="F11" s="185">
        <v>1301.0628000000002</v>
      </c>
      <c r="G11" s="185">
        <v>1320.0777</v>
      </c>
      <c r="H11" s="185">
        <v>1148.5262999999998</v>
      </c>
      <c r="I11" s="230">
        <v>1080.2878000000001</v>
      </c>
      <c r="J11" s="330">
        <v>1083.5482999999999</v>
      </c>
      <c r="K11" s="305">
        <v>330.56600000000003</v>
      </c>
      <c r="L11" s="306">
        <v>396.24800000000005</v>
      </c>
      <c r="M11" s="299">
        <f t="shared" si="0"/>
        <v>0.19869557062734833</v>
      </c>
      <c r="N11" s="282">
        <f t="shared" si="1"/>
        <v>2.994272826794931E-2</v>
      </c>
    </row>
    <row r="12" spans="1:15">
      <c r="A12" s="184" t="s">
        <v>324</v>
      </c>
      <c r="B12" s="185">
        <v>327.77690000000001</v>
      </c>
      <c r="C12" s="185">
        <v>368.9264</v>
      </c>
      <c r="D12" s="185">
        <v>393.05259999999987</v>
      </c>
      <c r="E12" s="185">
        <v>475.91149999999999</v>
      </c>
      <c r="F12" s="185">
        <v>545.32429999999999</v>
      </c>
      <c r="G12" s="185">
        <v>544.48760000000016</v>
      </c>
      <c r="H12" s="185">
        <v>581.29720000000009</v>
      </c>
      <c r="I12" s="230">
        <v>525.20709999999997</v>
      </c>
      <c r="J12" s="330">
        <v>442.02819999999997</v>
      </c>
      <c r="K12" s="305">
        <v>138.20949999999999</v>
      </c>
      <c r="L12" s="306">
        <v>140.88550000000001</v>
      </c>
      <c r="M12" s="299">
        <f t="shared" si="0"/>
        <v>1.9361910722490272E-2</v>
      </c>
      <c r="N12" s="282">
        <f t="shared" si="1"/>
        <v>1.0646101036205034E-2</v>
      </c>
      <c r="O12" s="292">
        <f>SUM(N9:N12)</f>
        <v>0.64565776434257105</v>
      </c>
    </row>
    <row r="13" spans="1:15">
      <c r="A13" s="61" t="s">
        <v>325</v>
      </c>
      <c r="B13" s="25">
        <v>2681.4368000245331</v>
      </c>
      <c r="C13" s="25">
        <v>1920.8202588002309</v>
      </c>
      <c r="D13" s="25">
        <v>3088.1233844173048</v>
      </c>
      <c r="E13" s="25">
        <v>4567.8024539648541</v>
      </c>
      <c r="F13" s="25">
        <v>4995.5372719897332</v>
      </c>
      <c r="G13" s="25">
        <v>5270.9630859503377</v>
      </c>
      <c r="H13" s="25">
        <v>4562.2725959757954</v>
      </c>
      <c r="I13" s="229">
        <v>2301.9020648507772</v>
      </c>
      <c r="J13" s="331">
        <v>2209.6042506134827</v>
      </c>
      <c r="K13" s="307">
        <v>457.90135518661094</v>
      </c>
      <c r="L13" s="308">
        <v>1058.6159780837261</v>
      </c>
      <c r="M13" s="300">
        <f t="shared" si="0"/>
        <v>1.3118865364622097</v>
      </c>
      <c r="N13" s="283">
        <f t="shared" si="1"/>
        <v>7.999497933584622E-2</v>
      </c>
      <c r="O13" s="21">
        <f>100%-O12</f>
        <v>0.35434223565742895</v>
      </c>
    </row>
    <row r="14" spans="1:15">
      <c r="A14" s="61" t="s">
        <v>349</v>
      </c>
      <c r="B14" s="25">
        <v>1797.3858471823089</v>
      </c>
      <c r="C14" s="25">
        <v>1683.2136660010215</v>
      </c>
      <c r="D14" s="25">
        <v>1884.2183061226253</v>
      </c>
      <c r="E14" s="25">
        <v>2113.5156486492629</v>
      </c>
      <c r="F14" s="25">
        <v>2311.7126019672733</v>
      </c>
      <c r="G14" s="25">
        <v>1706.6950634617754</v>
      </c>
      <c r="H14" s="25">
        <v>1730.5254660543083</v>
      </c>
      <c r="I14" s="229">
        <v>1449.312460068011</v>
      </c>
      <c r="J14" s="331">
        <v>1266.7486399764689</v>
      </c>
      <c r="K14" s="307">
        <v>510.84431227916747</v>
      </c>
      <c r="L14" s="308">
        <v>730.2913820914564</v>
      </c>
      <c r="M14" s="300">
        <f t="shared" si="0"/>
        <v>0.42957720099341135</v>
      </c>
      <c r="N14" s="283">
        <f t="shared" si="1"/>
        <v>5.5184925628368145E-2</v>
      </c>
    </row>
    <row r="15" spans="1:15">
      <c r="A15" s="61" t="s">
        <v>326</v>
      </c>
      <c r="B15" s="25">
        <v>685.93448714902649</v>
      </c>
      <c r="C15" s="25">
        <v>634.36531445369326</v>
      </c>
      <c r="D15" s="25">
        <v>975.09790797619473</v>
      </c>
      <c r="E15" s="25">
        <v>1689.3502871966998</v>
      </c>
      <c r="F15" s="25">
        <v>1094.8051389253683</v>
      </c>
      <c r="G15" s="25">
        <v>785.88057815767991</v>
      </c>
      <c r="H15" s="25">
        <v>847.43103959854761</v>
      </c>
      <c r="I15" s="229">
        <v>703.8922290231435</v>
      </c>
      <c r="J15" s="331">
        <v>875.63225430814714</v>
      </c>
      <c r="K15" s="307">
        <v>107.64515164217984</v>
      </c>
      <c r="L15" s="308">
        <v>113.05110385282286</v>
      </c>
      <c r="M15" s="300">
        <f t="shared" si="0"/>
        <v>5.0220117935388275E-2</v>
      </c>
      <c r="N15" s="283">
        <f t="shared" si="1"/>
        <v>8.5427774602188332E-3</v>
      </c>
    </row>
    <row r="16" spans="1:15">
      <c r="A16" s="61" t="s">
        <v>327</v>
      </c>
      <c r="B16" s="25">
        <v>1912.6476</v>
      </c>
      <c r="C16" s="25">
        <v>1827.6067999999998</v>
      </c>
      <c r="D16" s="25">
        <v>2202.5515999999998</v>
      </c>
      <c r="E16" s="25">
        <v>2835.5270999999998</v>
      </c>
      <c r="F16" s="25">
        <v>3082.7011000000002</v>
      </c>
      <c r="G16" s="25">
        <v>3444.3696</v>
      </c>
      <c r="H16" s="25">
        <v>4231.3062</v>
      </c>
      <c r="I16" s="229">
        <v>4387.2945000000009</v>
      </c>
      <c r="J16" s="331">
        <v>4667.4306999999999</v>
      </c>
      <c r="K16" s="307">
        <v>1325.4146000000001</v>
      </c>
      <c r="L16" s="308">
        <v>1391.5663999999997</v>
      </c>
      <c r="M16" s="300">
        <f t="shared" si="0"/>
        <v>4.9910269586588063E-2</v>
      </c>
      <c r="N16" s="283">
        <f t="shared" si="1"/>
        <v>0.10515458647616757</v>
      </c>
    </row>
    <row r="17" spans="1:14">
      <c r="A17" s="61" t="s">
        <v>348</v>
      </c>
      <c r="B17" s="25">
        <v>621.93760000000009</v>
      </c>
      <c r="C17" s="25">
        <v>517.92150000000004</v>
      </c>
      <c r="D17" s="25">
        <v>643.65350000000001</v>
      </c>
      <c r="E17" s="25">
        <v>1049.4242000000002</v>
      </c>
      <c r="F17" s="25">
        <v>1016.9302</v>
      </c>
      <c r="G17" s="25">
        <v>1030.2617</v>
      </c>
      <c r="H17" s="25">
        <v>1155.346</v>
      </c>
      <c r="I17" s="229">
        <v>933.53810000000021</v>
      </c>
      <c r="J17" s="331">
        <v>907.48299999999995</v>
      </c>
      <c r="K17" s="307">
        <v>280.45909999999998</v>
      </c>
      <c r="L17" s="308">
        <v>393.6474</v>
      </c>
      <c r="M17" s="300">
        <f t="shared" si="0"/>
        <v>0.40358219790336647</v>
      </c>
      <c r="N17" s="283">
        <f t="shared" si="1"/>
        <v>2.9746212300339053E-2</v>
      </c>
    </row>
    <row r="18" spans="1:14">
      <c r="A18" s="239" t="s">
        <v>328</v>
      </c>
      <c r="B18" s="240">
        <v>2025.8468000000005</v>
      </c>
      <c r="C18" s="240">
        <v>1495.3791999999999</v>
      </c>
      <c r="D18" s="240">
        <v>1560.8283999999999</v>
      </c>
      <c r="E18" s="240">
        <v>1989.8615</v>
      </c>
      <c r="F18" s="240">
        <v>2177.0586000000003</v>
      </c>
      <c r="G18" s="240">
        <v>1927.9707999999998</v>
      </c>
      <c r="H18" s="240">
        <v>1800.1976000000002</v>
      </c>
      <c r="I18" s="229">
        <v>1328.5608999999999</v>
      </c>
      <c r="J18" s="331">
        <v>1195.4779000000001</v>
      </c>
      <c r="K18" s="307">
        <v>389.49369999999999</v>
      </c>
      <c r="L18" s="308">
        <v>386.99689999999998</v>
      </c>
      <c r="M18" s="300">
        <f t="shared" si="0"/>
        <v>-6.4103732614930742E-3</v>
      </c>
      <c r="N18" s="283">
        <f t="shared" si="1"/>
        <v>2.9243663103003047E-2</v>
      </c>
    </row>
    <row r="19" spans="1:14">
      <c r="A19" s="239" t="s">
        <v>329</v>
      </c>
      <c r="B19" s="240">
        <v>427.76830000000001</v>
      </c>
      <c r="C19" s="240">
        <v>335.83899999999994</v>
      </c>
      <c r="D19" s="240">
        <v>359.17520000000002</v>
      </c>
      <c r="E19" s="240">
        <v>401.69369999999998</v>
      </c>
      <c r="F19" s="240">
        <v>438.08229999999998</v>
      </c>
      <c r="G19" s="240">
        <v>427.33410000000003</v>
      </c>
      <c r="H19" s="240">
        <v>416.25689999999997</v>
      </c>
      <c r="I19" s="229">
        <v>352.39059999999995</v>
      </c>
      <c r="J19" s="331">
        <v>321.1798</v>
      </c>
      <c r="K19" s="307">
        <v>95.697299999999998</v>
      </c>
      <c r="L19" s="308">
        <v>111.6199</v>
      </c>
      <c r="M19" s="300">
        <f t="shared" si="0"/>
        <v>0.16638504952595312</v>
      </c>
      <c r="N19" s="283">
        <f t="shared" si="1"/>
        <v>8.4346276447973875E-3</v>
      </c>
    </row>
    <row r="20" spans="1:14">
      <c r="A20" s="239" t="s">
        <v>347</v>
      </c>
      <c r="B20" s="240">
        <v>1040.7969000000001</v>
      </c>
      <c r="C20" s="240">
        <v>837.80100000000004</v>
      </c>
      <c r="D20" s="240">
        <v>1228.2731999999999</v>
      </c>
      <c r="E20" s="240">
        <v>1654.8217</v>
      </c>
      <c r="F20" s="240">
        <v>1636.3205999999998</v>
      </c>
      <c r="G20" s="240">
        <v>1510.0326</v>
      </c>
      <c r="H20" s="240">
        <v>1514.9664</v>
      </c>
      <c r="I20" s="229">
        <v>1401.8610999999996</v>
      </c>
      <c r="J20" s="331">
        <v>1333.8604999999998</v>
      </c>
      <c r="K20" s="307">
        <v>445.03179999999998</v>
      </c>
      <c r="L20" s="308">
        <v>418.68270000000007</v>
      </c>
      <c r="M20" s="300">
        <f t="shared" si="0"/>
        <v>-5.9207229685608764E-2</v>
      </c>
      <c r="N20" s="283">
        <f t="shared" si="1"/>
        <v>3.1638020423046531E-2</v>
      </c>
    </row>
    <row r="21" spans="1:14">
      <c r="A21" s="61" t="s">
        <v>32</v>
      </c>
      <c r="B21" s="25">
        <v>311.30424654000001</v>
      </c>
      <c r="C21" s="25">
        <v>247.88257134000003</v>
      </c>
      <c r="D21" s="25">
        <v>364.29995030999999</v>
      </c>
      <c r="E21" s="25">
        <v>450.82314214999997</v>
      </c>
      <c r="F21" s="25">
        <v>622.13367848000007</v>
      </c>
      <c r="G21" s="25">
        <v>381.17453501</v>
      </c>
      <c r="H21" s="25">
        <v>335.53756860000004</v>
      </c>
      <c r="I21" s="229">
        <v>237.42250985999999</v>
      </c>
      <c r="J21" s="331">
        <v>242.61170436</v>
      </c>
      <c r="K21" s="309">
        <v>73.572130239999993</v>
      </c>
      <c r="L21" s="310">
        <v>84.726926829999996</v>
      </c>
      <c r="M21" s="300">
        <f t="shared" si="0"/>
        <v>0.15161714841763985</v>
      </c>
      <c r="N21" s="283">
        <f t="shared" si="1"/>
        <v>6.402443285642107E-3</v>
      </c>
    </row>
    <row r="22" spans="1:14" ht="12.75" thickBot="1">
      <c r="A22" s="61"/>
      <c r="B22" s="25"/>
      <c r="C22" s="25"/>
      <c r="D22" s="25"/>
      <c r="E22" s="25"/>
      <c r="F22" s="25"/>
      <c r="G22" s="25"/>
      <c r="H22" s="25"/>
      <c r="J22" s="23"/>
      <c r="K22" s="23"/>
      <c r="L22" s="284"/>
      <c r="M22" s="298"/>
      <c r="N22" s="285"/>
    </row>
    <row r="23" spans="1:14">
      <c r="A23" s="61"/>
      <c r="B23" s="14"/>
      <c r="C23" s="14"/>
      <c r="D23" s="14"/>
      <c r="E23" s="14"/>
      <c r="F23" s="14"/>
      <c r="G23" s="14"/>
      <c r="H23" s="14"/>
      <c r="L23" s="14"/>
      <c r="M23" s="14"/>
      <c r="N23" s="21"/>
    </row>
    <row r="24" spans="1:14">
      <c r="A24" s="62" t="s">
        <v>75</v>
      </c>
      <c r="B24" s="17">
        <v>28094.019126088009</v>
      </c>
      <c r="C24" s="17">
        <v>31018.47962919527</v>
      </c>
      <c r="D24" s="17">
        <v>27070.51963887288</v>
      </c>
      <c r="E24" s="17">
        <f t="shared" ref="E24:K24" si="2">SUM(E9:E21)</f>
        <v>46375.961566173552</v>
      </c>
      <c r="F24" s="17">
        <f t="shared" si="2"/>
        <v>47410.606678139018</v>
      </c>
      <c r="G24" s="17">
        <f t="shared" si="2"/>
        <v>42860.636578772857</v>
      </c>
      <c r="H24" s="17">
        <f t="shared" si="2"/>
        <v>39532.682898636653</v>
      </c>
      <c r="I24" s="17">
        <f t="shared" si="2"/>
        <v>34235.663917661652</v>
      </c>
      <c r="J24" s="17">
        <f t="shared" si="2"/>
        <v>36837.510465790205</v>
      </c>
      <c r="K24" s="17">
        <f t="shared" si="2"/>
        <v>10559.796867604267</v>
      </c>
      <c r="L24" s="17">
        <f>SUM(L9:L21)</f>
        <v>13233.530239932872</v>
      </c>
      <c r="M24" s="63">
        <f t="shared" ref="M24:M26" si="3">L24/K24-1</f>
        <v>0.25319931868492485</v>
      </c>
      <c r="N24" s="63">
        <v>1</v>
      </c>
    </row>
    <row r="25" spans="1:14">
      <c r="A25" s="74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3"/>
      <c r="M25" s="73"/>
    </row>
    <row r="26" spans="1:14">
      <c r="A26" s="62" t="s">
        <v>364</v>
      </c>
      <c r="B26" s="17">
        <f t="shared" ref="B26:J26" si="4">SUM(B9:B12)</f>
        <v>19513.421048299402</v>
      </c>
      <c r="C26" s="17">
        <f t="shared" si="4"/>
        <v>17569.690328277931</v>
      </c>
      <c r="D26" s="17">
        <f t="shared" si="4"/>
        <v>23496.859365768923</v>
      </c>
      <c r="E26" s="17">
        <f t="shared" si="4"/>
        <v>29623.141834212729</v>
      </c>
      <c r="F26" s="17">
        <f t="shared" si="4"/>
        <v>30035.325186776645</v>
      </c>
      <c r="G26" s="17">
        <f t="shared" si="4"/>
        <v>26375.954516193058</v>
      </c>
      <c r="H26" s="17">
        <f t="shared" si="4"/>
        <v>22938.843128408011</v>
      </c>
      <c r="I26" s="17">
        <f t="shared" si="4"/>
        <v>21139.489453859722</v>
      </c>
      <c r="J26" s="17">
        <f t="shared" si="4"/>
        <v>23817.481716532107</v>
      </c>
      <c r="K26" s="17">
        <f>SUM(K9:K12)</f>
        <v>6873.737418256308</v>
      </c>
      <c r="L26" s="17">
        <f>SUM(L9:L12)</f>
        <v>8544.3315490748682</v>
      </c>
      <c r="M26" s="63">
        <f t="shared" si="3"/>
        <v>0.24304014383522188</v>
      </c>
      <c r="N26" s="63">
        <f>SUM(N9:N12)</f>
        <v>0.64565776434257105</v>
      </c>
    </row>
    <row r="29" spans="1:14">
      <c r="A29" s="5" t="s">
        <v>31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s="47" customFormat="1"/>
  </sheetData>
  <mergeCells count="1">
    <mergeCell ref="K5:L5"/>
  </mergeCells>
  <pageMargins left="0.7" right="0.7" top="0.75" bottom="0.75" header="0.3" footer="0.3"/>
  <pageSetup paperSize="9"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51"/>
  <sheetViews>
    <sheetView zoomScaleNormal="100" workbookViewId="0"/>
  </sheetViews>
  <sheetFormatPr baseColWidth="10" defaultColWidth="11.5703125" defaultRowHeight="12"/>
  <cols>
    <col min="1" max="1" width="37.5703125" style="12" customWidth="1"/>
    <col min="2" max="2" width="13" style="12" customWidth="1"/>
    <col min="3" max="4" width="11.5703125" style="10"/>
    <col min="5" max="5" width="37.5703125" style="12" hidden="1" customWidth="1"/>
    <col min="6" max="6" width="6.7109375" style="12" hidden="1" customWidth="1"/>
    <col min="7" max="8" width="0" style="10" hidden="1" customWidth="1"/>
    <col min="9" max="16384" width="11.5703125" style="10"/>
  </cols>
  <sheetData>
    <row r="1" spans="1:7" ht="15">
      <c r="A1" s="1" t="s">
        <v>360</v>
      </c>
      <c r="E1" s="1"/>
    </row>
    <row r="2" spans="1:7" ht="15">
      <c r="A2" s="15" t="s">
        <v>359</v>
      </c>
      <c r="E2" s="15"/>
    </row>
    <row r="4" spans="1:7" ht="14.45" customHeight="1">
      <c r="A4" s="181" t="s">
        <v>76</v>
      </c>
      <c r="B4" s="278">
        <v>2016</v>
      </c>
      <c r="C4" s="278" t="s">
        <v>72</v>
      </c>
      <c r="E4" s="1"/>
    </row>
    <row r="5" spans="1:7" s="54" customFormat="1" ht="15">
      <c r="A5" s="182"/>
      <c r="B5" s="183"/>
      <c r="C5" s="183"/>
      <c r="E5" s="1"/>
      <c r="F5" s="12"/>
      <c r="G5" s="10"/>
    </row>
    <row r="6" spans="1:7" s="32" customFormat="1" ht="15">
      <c r="A6" s="71"/>
      <c r="B6" s="31"/>
      <c r="C6" s="31"/>
      <c r="E6" s="1"/>
      <c r="F6" s="12"/>
      <c r="G6" s="10"/>
    </row>
    <row r="7" spans="1:7" s="32" customFormat="1" ht="12.75" thickBot="1">
      <c r="A7" s="288" t="s">
        <v>362</v>
      </c>
      <c r="B7" s="289">
        <f>SUM(B9:B17)</f>
        <v>7851.6099490748702</v>
      </c>
      <c r="C7" s="283">
        <f>B7/$B$24</f>
        <v>0.9189261797694398</v>
      </c>
      <c r="E7" s="30"/>
      <c r="F7" s="31"/>
      <c r="G7" s="31"/>
    </row>
    <row r="8" spans="1:7">
      <c r="C8" s="281"/>
      <c r="G8" s="281"/>
    </row>
    <row r="9" spans="1:7" s="32" customFormat="1">
      <c r="A9" s="239" t="s">
        <v>9</v>
      </c>
      <c r="B9" s="240">
        <f>'03.1 EXPORTACIONES MINERAS'!AA8</f>
        <v>3978.4116619580418</v>
      </c>
      <c r="C9" s="283">
        <f t="shared" ref="C9:C17" si="0">B9/$B$24</f>
        <v>0.46562000071132548</v>
      </c>
      <c r="E9" s="239" t="s">
        <v>9</v>
      </c>
      <c r="F9" s="240">
        <v>6897.5175063077559</v>
      </c>
      <c r="G9" s="283">
        <v>0.45480860832773023</v>
      </c>
    </row>
    <row r="10" spans="1:7" s="32" customFormat="1">
      <c r="A10" s="239" t="s">
        <v>16</v>
      </c>
      <c r="B10" s="240">
        <f>'03.1 EXPORTACIONES MINERAS'!AA12</f>
        <v>2322.8943242018495</v>
      </c>
      <c r="C10" s="283">
        <f t="shared" si="0"/>
        <v>0.27186378605045575</v>
      </c>
      <c r="E10" s="239" t="s">
        <v>16</v>
      </c>
      <c r="F10" s="240">
        <v>5333.5725486439305</v>
      </c>
      <c r="G10" s="283">
        <v>0.35168518326272996</v>
      </c>
    </row>
    <row r="11" spans="1:7" s="32" customFormat="1">
      <c r="A11" s="239" t="s">
        <v>19</v>
      </c>
      <c r="B11" s="240">
        <f>'03.1 EXPORTACIONES MINERAS'!AA16</f>
        <v>629.76104833274962</v>
      </c>
      <c r="C11" s="283">
        <f t="shared" si="0"/>
        <v>7.3705127746469118E-2</v>
      </c>
      <c r="E11" s="239" t="s">
        <v>25</v>
      </c>
      <c r="F11" s="240">
        <v>1178.7959383468938</v>
      </c>
      <c r="G11" s="283">
        <v>7.7727463501418556E-2</v>
      </c>
    </row>
    <row r="12" spans="1:7" s="32" customFormat="1">
      <c r="A12" s="239" t="s">
        <v>22</v>
      </c>
      <c r="B12" s="240">
        <f>'03.1 EXPORTACIONES MINERAS'!AA20</f>
        <v>33.444326845555999</v>
      </c>
      <c r="C12" s="283">
        <f t="shared" si="0"/>
        <v>3.9142122064747308E-3</v>
      </c>
      <c r="E12" s="239" t="s">
        <v>19</v>
      </c>
      <c r="F12" s="240">
        <v>982.48300990799225</v>
      </c>
      <c r="G12" s="283">
        <v>6.478297880842758E-2</v>
      </c>
    </row>
    <row r="13" spans="1:7" s="32" customFormat="1">
      <c r="A13" s="239" t="s">
        <v>25</v>
      </c>
      <c r="B13" s="240">
        <f>'03.1 EXPORTACIONES MINERAS'!AA24</f>
        <v>449.73030111380274</v>
      </c>
      <c r="C13" s="283">
        <f t="shared" si="0"/>
        <v>5.2634930951678358E-2</v>
      </c>
      <c r="E13" s="239" t="s">
        <v>26</v>
      </c>
      <c r="F13" s="240">
        <v>247.58797021279898</v>
      </c>
      <c r="G13" s="283">
        <v>1.632545913340468E-2</v>
      </c>
    </row>
    <row r="14" spans="1:7" s="32" customFormat="1">
      <c r="A14" s="239" t="s">
        <v>26</v>
      </c>
      <c r="B14" s="240">
        <f>'03.1 EXPORTACIONES MINERAS'!AA32</f>
        <v>124.60113648109458</v>
      </c>
      <c r="C14" s="283">
        <f t="shared" si="0"/>
        <v>1.458290046043282E-2</v>
      </c>
      <c r="E14" s="239" t="s">
        <v>27</v>
      </c>
      <c r="F14" s="240">
        <v>237.03748869093548</v>
      </c>
      <c r="G14" s="283">
        <v>1.562978133138997E-2</v>
      </c>
    </row>
    <row r="15" spans="1:7" s="32" customFormat="1">
      <c r="A15" s="239" t="s">
        <v>27</v>
      </c>
      <c r="B15" s="240">
        <f>'03.1 EXPORTACIONES MINERAS'!AA28</f>
        <v>210.96428014177499</v>
      </c>
      <c r="C15" s="283">
        <f t="shared" si="0"/>
        <v>2.469055407436957E-2</v>
      </c>
      <c r="E15" s="239" t="s">
        <v>29</v>
      </c>
      <c r="F15" s="240">
        <v>195.65920941493385</v>
      </c>
      <c r="G15" s="283">
        <v>1.2901379758606085E-2</v>
      </c>
    </row>
    <row r="16" spans="1:7" s="32" customFormat="1">
      <c r="A16" s="239" t="s">
        <v>29</v>
      </c>
      <c r="B16" s="240">
        <f>'03.1 EXPORTACIONES MINERAS'!AA36</f>
        <v>92.059980913331771</v>
      </c>
      <c r="C16" s="283">
        <f t="shared" si="0"/>
        <v>1.0774392400924503E-2</v>
      </c>
      <c r="E16" s="239" t="s">
        <v>22</v>
      </c>
      <c r="F16" s="240">
        <v>86.525291018375</v>
      </c>
      <c r="G16" s="283">
        <v>5.7053058810262267E-3</v>
      </c>
    </row>
    <row r="17" spans="1:7" s="32" customFormat="1">
      <c r="A17" s="239" t="s">
        <v>32</v>
      </c>
      <c r="B17" s="240">
        <f>'03.1 EXPORTACIONES MINERAS'!AA40</f>
        <v>9.7428890866682316</v>
      </c>
      <c r="C17" s="283">
        <f t="shared" si="0"/>
        <v>1.1402751673093882E-3</v>
      </c>
      <c r="E17" s="239" t="s">
        <v>32</v>
      </c>
      <c r="F17" s="240">
        <v>6.5795125850661353</v>
      </c>
      <c r="G17" s="283">
        <v>4.338399952667259E-4</v>
      </c>
    </row>
    <row r="18" spans="1:7" s="32" customFormat="1" ht="12.75" thickBot="1">
      <c r="A18" s="239"/>
      <c r="B18" s="240"/>
      <c r="C18" s="285"/>
      <c r="E18" s="239"/>
      <c r="F18" s="240"/>
      <c r="G18" s="285"/>
    </row>
    <row r="19" spans="1:7">
      <c r="A19" s="61"/>
      <c r="B19" s="14"/>
      <c r="C19" s="21"/>
      <c r="E19" s="61"/>
      <c r="F19" s="14"/>
      <c r="G19" s="21"/>
    </row>
    <row r="20" spans="1:7">
      <c r="A20" s="286" t="str">
        <f>'03.2 PARTICP. EXPORTACIONES'!A10</f>
        <v>Minerales no metálicos</v>
      </c>
      <c r="B20" s="14">
        <f>'03.2 PARTICP. EXPORTACIONES'!L10</f>
        <v>155.5881</v>
      </c>
      <c r="C20" s="283">
        <f t="shared" ref="C20:C22" si="1">B20/$B$24</f>
        <v>1.8209511078353013E-2</v>
      </c>
      <c r="E20" s="62" t="s">
        <v>75</v>
      </c>
      <c r="F20" s="17">
        <f>SUM(F9:F19)</f>
        <v>15165.758475128681</v>
      </c>
      <c r="G20" s="63">
        <v>1</v>
      </c>
    </row>
    <row r="21" spans="1:7">
      <c r="A21" s="286" t="str">
        <f>'03.2 PARTICP. EXPORTACIONES'!A11</f>
        <v>Sidero-metalúrgicos y joyería</v>
      </c>
      <c r="B21" s="14">
        <f>'03.2 PARTICP. EXPORTACIONES'!L11</f>
        <v>396.24800000000005</v>
      </c>
      <c r="C21" s="283">
        <f t="shared" si="1"/>
        <v>4.6375541225680016E-2</v>
      </c>
      <c r="E21" s="74"/>
      <c r="F21" s="72"/>
    </row>
    <row r="22" spans="1:7">
      <c r="A22" s="286" t="str">
        <f>'03.2 PARTICP. EXPORTACIONES'!A12</f>
        <v>Metal-mecánicos</v>
      </c>
      <c r="B22" s="14">
        <f>'03.2 PARTICP. EXPORTACIONES'!L12</f>
        <v>140.88550000000001</v>
      </c>
      <c r="C22" s="283">
        <f t="shared" si="1"/>
        <v>1.6488767926527179E-2</v>
      </c>
    </row>
    <row r="24" spans="1:7">
      <c r="A24" s="62" t="s">
        <v>364</v>
      </c>
      <c r="B24" s="17">
        <f>SUM(B9:B22)</f>
        <v>8544.3315490748701</v>
      </c>
      <c r="C24" s="287">
        <v>1</v>
      </c>
    </row>
    <row r="25" spans="1:7">
      <c r="A25" s="339"/>
      <c r="B25" s="72"/>
      <c r="C25" s="340"/>
    </row>
    <row r="26" spans="1:7">
      <c r="A26" s="339"/>
      <c r="B26" s="72"/>
      <c r="C26" s="340"/>
    </row>
    <row r="27" spans="1:7" ht="15">
      <c r="A27" s="1" t="s">
        <v>361</v>
      </c>
      <c r="E27" s="1"/>
    </row>
    <row r="28" spans="1:7" ht="15">
      <c r="A28" s="15" t="s">
        <v>359</v>
      </c>
      <c r="E28" s="15"/>
    </row>
    <row r="30" spans="1:7" ht="14.45" customHeight="1">
      <c r="A30" s="181" t="s">
        <v>76</v>
      </c>
      <c r="B30" s="278">
        <v>2016</v>
      </c>
      <c r="C30" s="278" t="s">
        <v>72</v>
      </c>
      <c r="E30" s="1"/>
    </row>
    <row r="31" spans="1:7" s="54" customFormat="1" ht="15">
      <c r="A31" s="182"/>
      <c r="B31" s="183"/>
      <c r="C31" s="183"/>
      <c r="E31" s="1"/>
      <c r="F31" s="12"/>
      <c r="G31" s="10"/>
    </row>
    <row r="32" spans="1:7" s="32" customFormat="1" ht="15">
      <c r="A32" s="71"/>
      <c r="B32" s="31"/>
      <c r="C32" s="31"/>
      <c r="E32" s="1"/>
      <c r="F32" s="12"/>
      <c r="G32" s="10"/>
    </row>
    <row r="33" spans="1:7" s="32" customFormat="1" ht="12.75" thickBot="1">
      <c r="A33" s="30"/>
      <c r="B33" s="31"/>
      <c r="C33" s="31"/>
      <c r="E33" s="30"/>
      <c r="F33" s="31"/>
      <c r="G33" s="31"/>
    </row>
    <row r="34" spans="1:7">
      <c r="B34" s="280"/>
      <c r="C34" s="281"/>
      <c r="G34" s="281"/>
    </row>
    <row r="35" spans="1:7" s="32" customFormat="1">
      <c r="A35" s="239" t="s">
        <v>9</v>
      </c>
      <c r="B35" s="313">
        <f t="shared" ref="B35:B43" si="2">B9</f>
        <v>3978.4116619580418</v>
      </c>
      <c r="C35" s="283">
        <f>B35/$B$46</f>
        <v>0.30063116869246087</v>
      </c>
      <c r="E35" s="239" t="s">
        <v>9</v>
      </c>
      <c r="F35" s="240">
        <v>6897.5175063077559</v>
      </c>
      <c r="G35" s="283">
        <v>0.45480860832773023</v>
      </c>
    </row>
    <row r="36" spans="1:7" s="32" customFormat="1">
      <c r="A36" s="239" t="s">
        <v>16</v>
      </c>
      <c r="B36" s="313">
        <f t="shared" si="2"/>
        <v>2322.8943242018495</v>
      </c>
      <c r="C36" s="283">
        <f t="shared" ref="C36:C43" si="3">B36/$B$46</f>
        <v>0.17553096430704437</v>
      </c>
      <c r="E36" s="239" t="s">
        <v>16</v>
      </c>
      <c r="F36" s="240">
        <v>5333.5725486439305</v>
      </c>
      <c r="G36" s="283">
        <v>0.35168518326272996</v>
      </c>
    </row>
    <row r="37" spans="1:7" s="32" customFormat="1">
      <c r="A37" s="239" t="s">
        <v>19</v>
      </c>
      <c r="B37" s="313">
        <f t="shared" si="2"/>
        <v>629.76104833274962</v>
      </c>
      <c r="C37" s="283">
        <f t="shared" si="3"/>
        <v>4.758828800136887E-2</v>
      </c>
      <c r="E37" s="239" t="s">
        <v>25</v>
      </c>
      <c r="F37" s="240">
        <v>1178.7959383468938</v>
      </c>
      <c r="G37" s="283">
        <v>7.7727463501418556E-2</v>
      </c>
    </row>
    <row r="38" spans="1:7" s="32" customFormat="1">
      <c r="A38" s="239" t="s">
        <v>22</v>
      </c>
      <c r="B38" s="313">
        <f t="shared" si="2"/>
        <v>33.444326845555999</v>
      </c>
      <c r="C38" s="283">
        <f t="shared" si="3"/>
        <v>2.5272415023948778E-3</v>
      </c>
      <c r="E38" s="239" t="s">
        <v>19</v>
      </c>
      <c r="F38" s="240">
        <v>982.48300990799225</v>
      </c>
      <c r="G38" s="283">
        <v>6.478297880842758E-2</v>
      </c>
    </row>
    <row r="39" spans="1:7" s="32" customFormat="1">
      <c r="A39" s="239" t="s">
        <v>25</v>
      </c>
      <c r="B39" s="313">
        <f t="shared" si="2"/>
        <v>449.73030111380274</v>
      </c>
      <c r="C39" s="283">
        <f t="shared" si="3"/>
        <v>3.3984151844586259E-2</v>
      </c>
      <c r="E39" s="239" t="s">
        <v>26</v>
      </c>
      <c r="F39" s="240">
        <v>247.58797021279898</v>
      </c>
      <c r="G39" s="283">
        <v>1.632545913340468E-2</v>
      </c>
    </row>
    <row r="40" spans="1:7" s="32" customFormat="1">
      <c r="A40" s="239" t="s">
        <v>26</v>
      </c>
      <c r="B40" s="313">
        <f t="shared" si="2"/>
        <v>124.60113648109458</v>
      </c>
      <c r="C40" s="283">
        <f t="shared" si="3"/>
        <v>9.415562908913308E-3</v>
      </c>
      <c r="E40" s="239" t="s">
        <v>27</v>
      </c>
      <c r="F40" s="240">
        <v>237.03748869093548</v>
      </c>
      <c r="G40" s="283">
        <v>1.562978133138997E-2</v>
      </c>
    </row>
    <row r="41" spans="1:7" s="32" customFormat="1">
      <c r="A41" s="239" t="s">
        <v>27</v>
      </c>
      <c r="B41" s="313">
        <f t="shared" si="2"/>
        <v>210.96428014177499</v>
      </c>
      <c r="C41" s="283">
        <f t="shared" si="3"/>
        <v>1.5941647944036824E-2</v>
      </c>
      <c r="E41" s="239" t="s">
        <v>29</v>
      </c>
      <c r="F41" s="240">
        <v>195.65920941493385</v>
      </c>
      <c r="G41" s="283">
        <v>1.2901379758606085E-2</v>
      </c>
    </row>
    <row r="42" spans="1:7" s="32" customFormat="1">
      <c r="A42" s="239" t="s">
        <v>29</v>
      </c>
      <c r="B42" s="313">
        <f t="shared" si="2"/>
        <v>92.059980913331771</v>
      </c>
      <c r="C42" s="283">
        <f t="shared" si="3"/>
        <v>6.9565701097305047E-3</v>
      </c>
      <c r="E42" s="239" t="s">
        <v>22</v>
      </c>
      <c r="F42" s="240">
        <v>86.525291018375</v>
      </c>
      <c r="G42" s="283">
        <v>5.7053058810262267E-3</v>
      </c>
    </row>
    <row r="43" spans="1:7" s="32" customFormat="1">
      <c r="A43" s="239" t="s">
        <v>32</v>
      </c>
      <c r="B43" s="313">
        <f t="shared" si="2"/>
        <v>9.7428890866682316</v>
      </c>
      <c r="C43" s="283">
        <f t="shared" si="3"/>
        <v>7.3622751526033114E-4</v>
      </c>
      <c r="E43" s="239" t="s">
        <v>32</v>
      </c>
      <c r="F43" s="240">
        <v>6.5795125850661353</v>
      </c>
      <c r="G43" s="283">
        <v>4.338399952667259E-4</v>
      </c>
    </row>
    <row r="44" spans="1:7" s="32" customFormat="1" ht="12.75" thickBot="1">
      <c r="A44" s="239"/>
      <c r="B44" s="314"/>
      <c r="C44" s="285"/>
      <c r="E44" s="239"/>
      <c r="F44" s="240"/>
      <c r="G44" s="285"/>
    </row>
    <row r="45" spans="1:7">
      <c r="A45" s="61"/>
      <c r="B45" s="14"/>
      <c r="C45" s="21"/>
      <c r="E45" s="61"/>
      <c r="F45" s="14"/>
      <c r="G45" s="21"/>
    </row>
    <row r="46" spans="1:7">
      <c r="A46" s="62" t="s">
        <v>389</v>
      </c>
      <c r="B46" s="17">
        <f>'03.2 PARTICP. EXPORTACIONES'!L24</f>
        <v>13233.530239932872</v>
      </c>
      <c r="C46" s="287">
        <v>1</v>
      </c>
      <c r="E46" s="62" t="s">
        <v>75</v>
      </c>
      <c r="F46" s="17">
        <f>SUM(F35:F45)</f>
        <v>15165.758475128681</v>
      </c>
      <c r="G46" s="63">
        <v>1</v>
      </c>
    </row>
    <row r="47" spans="1:7">
      <c r="A47" s="74"/>
      <c r="B47" s="72"/>
      <c r="E47" s="74"/>
      <c r="F47" s="72"/>
    </row>
    <row r="51" spans="1:7" ht="11.45" customHeight="1">
      <c r="A51" s="5" t="s">
        <v>31</v>
      </c>
      <c r="B51" s="9"/>
      <c r="C51" s="9"/>
      <c r="E51" s="5" t="s">
        <v>31</v>
      </c>
      <c r="F51" s="9"/>
      <c r="G51" s="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0"/>
    <pageSetUpPr fitToPage="1"/>
  </sheetPr>
  <dimension ref="A1:L40"/>
  <sheetViews>
    <sheetView zoomScale="145" zoomScaleNormal="145" workbookViewId="0">
      <pane ySplit="6" topLeftCell="A7" activePane="bottomLeft" state="frozen"/>
      <selection activeCell="B24" sqref="B24"/>
      <selection pane="bottomLeft"/>
    </sheetView>
  </sheetViews>
  <sheetFormatPr baseColWidth="10" defaultColWidth="11.5703125" defaultRowHeight="12"/>
  <cols>
    <col min="1" max="1" width="11.85546875" style="7" customWidth="1"/>
    <col min="2" max="9" width="14.7109375" style="7" customWidth="1"/>
    <col min="10" max="16384" width="11.5703125" style="3"/>
  </cols>
  <sheetData>
    <row r="1" spans="1:9">
      <c r="A1" s="152" t="s">
        <v>392</v>
      </c>
    </row>
    <row r="4" spans="1:9">
      <c r="A4" s="233" t="s">
        <v>304</v>
      </c>
      <c r="B4" s="233" t="s">
        <v>305</v>
      </c>
      <c r="C4" s="233" t="s">
        <v>306</v>
      </c>
      <c r="D4" s="233" t="s">
        <v>307</v>
      </c>
      <c r="E4" s="233" t="s">
        <v>308</v>
      </c>
      <c r="F4" s="233" t="s">
        <v>309</v>
      </c>
      <c r="G4" s="233" t="s">
        <v>310</v>
      </c>
      <c r="H4" s="233" t="s">
        <v>311</v>
      </c>
      <c r="I4" s="233" t="s">
        <v>312</v>
      </c>
    </row>
    <row r="5" spans="1:9">
      <c r="B5" s="8" t="s">
        <v>313</v>
      </c>
      <c r="C5" s="6" t="s">
        <v>314</v>
      </c>
      <c r="D5" s="8" t="s">
        <v>313</v>
      </c>
      <c r="E5" s="231" t="s">
        <v>314</v>
      </c>
      <c r="F5" s="8" t="s">
        <v>313</v>
      </c>
      <c r="G5" s="231" t="s">
        <v>313</v>
      </c>
      <c r="H5" s="8" t="s">
        <v>315</v>
      </c>
      <c r="I5" s="231" t="s">
        <v>316</v>
      </c>
    </row>
    <row r="6" spans="1:9">
      <c r="B6" s="8" t="s">
        <v>366</v>
      </c>
      <c r="C6" s="6" t="s">
        <v>367</v>
      </c>
      <c r="D6" s="8" t="s">
        <v>366</v>
      </c>
      <c r="E6" s="231" t="s">
        <v>368</v>
      </c>
      <c r="F6" s="8" t="s">
        <v>366</v>
      </c>
      <c r="G6" s="231" t="s">
        <v>366</v>
      </c>
      <c r="H6" s="8" t="s">
        <v>385</v>
      </c>
      <c r="I6" s="231" t="s">
        <v>386</v>
      </c>
    </row>
    <row r="7" spans="1:9">
      <c r="B7" s="8"/>
      <c r="C7" s="6"/>
      <c r="D7" s="8"/>
      <c r="E7" s="231"/>
      <c r="F7" s="8"/>
      <c r="G7" s="231"/>
      <c r="H7" s="8"/>
      <c r="I7" s="231"/>
    </row>
    <row r="8" spans="1:9" ht="10.15" customHeight="1">
      <c r="A8" s="7">
        <v>1995</v>
      </c>
      <c r="B8" s="157">
        <v>133.19999999999999</v>
      </c>
      <c r="C8" s="157">
        <v>384.2</v>
      </c>
      <c r="D8" s="157">
        <v>46.8</v>
      </c>
      <c r="E8" s="157">
        <v>5.19</v>
      </c>
      <c r="F8" s="157">
        <v>28.6</v>
      </c>
      <c r="G8" s="157">
        <v>294.5</v>
      </c>
      <c r="H8" s="157">
        <v>16.5</v>
      </c>
      <c r="I8" s="157">
        <v>7.9</v>
      </c>
    </row>
    <row r="9" spans="1:9" ht="10.15" customHeight="1">
      <c r="A9" s="7">
        <v>1996</v>
      </c>
      <c r="B9" s="157">
        <v>103.89</v>
      </c>
      <c r="C9" s="157">
        <v>387.8</v>
      </c>
      <c r="D9" s="157">
        <v>46.5</v>
      </c>
      <c r="E9" s="157">
        <v>5.18</v>
      </c>
      <c r="F9" s="157">
        <v>35.1</v>
      </c>
      <c r="G9" s="157">
        <v>289</v>
      </c>
      <c r="H9" s="157">
        <v>20.5</v>
      </c>
      <c r="I9" s="157">
        <v>3.78</v>
      </c>
    </row>
    <row r="10" spans="1:9" ht="10.15" customHeight="1">
      <c r="A10" s="7">
        <v>1997</v>
      </c>
      <c r="B10" s="157">
        <v>103.22</v>
      </c>
      <c r="C10" s="157">
        <v>331.2</v>
      </c>
      <c r="D10" s="157">
        <v>59.7</v>
      </c>
      <c r="E10" s="157">
        <v>4.8899999999999997</v>
      </c>
      <c r="F10" s="157">
        <v>28</v>
      </c>
      <c r="G10" s="157">
        <v>264.39999999999998</v>
      </c>
      <c r="H10" s="157">
        <v>20.100000000000001</v>
      </c>
      <c r="I10" s="157">
        <v>4.3</v>
      </c>
    </row>
    <row r="11" spans="1:9" ht="10.15" customHeight="1">
      <c r="A11" s="7">
        <v>1998</v>
      </c>
      <c r="B11" s="157">
        <v>74.97</v>
      </c>
      <c r="C11" s="157">
        <v>294.10000000000002</v>
      </c>
      <c r="D11" s="157">
        <v>46.5</v>
      </c>
      <c r="E11" s="157">
        <v>5.53</v>
      </c>
      <c r="F11" s="157">
        <v>24</v>
      </c>
      <c r="G11" s="157">
        <v>261.39999999999998</v>
      </c>
      <c r="H11" s="157">
        <v>21</v>
      </c>
      <c r="I11" s="157">
        <v>3.41</v>
      </c>
    </row>
    <row r="12" spans="1:9" ht="10.15" customHeight="1">
      <c r="A12" s="7">
        <v>1999</v>
      </c>
      <c r="B12" s="157">
        <v>71.38</v>
      </c>
      <c r="C12" s="157">
        <v>278.8</v>
      </c>
      <c r="D12" s="157">
        <v>48.8</v>
      </c>
      <c r="E12" s="157">
        <v>5.25</v>
      </c>
      <c r="F12" s="157">
        <v>22.8</v>
      </c>
      <c r="G12" s="157">
        <v>254.4</v>
      </c>
      <c r="H12" s="157">
        <v>17.399999999999999</v>
      </c>
      <c r="I12" s="157">
        <v>2.65</v>
      </c>
    </row>
    <row r="13" spans="1:9" ht="10.15" customHeight="1">
      <c r="A13" s="7">
        <v>2000</v>
      </c>
      <c r="B13" s="157">
        <v>82.29</v>
      </c>
      <c r="C13" s="157">
        <v>279</v>
      </c>
      <c r="D13" s="157">
        <v>51.2</v>
      </c>
      <c r="E13" s="157">
        <v>5</v>
      </c>
      <c r="F13" s="157">
        <v>20.6</v>
      </c>
      <c r="G13" s="157">
        <v>253.4</v>
      </c>
      <c r="H13" s="157">
        <v>18.5</v>
      </c>
      <c r="I13" s="157">
        <v>2.5499999999999998</v>
      </c>
    </row>
    <row r="14" spans="1:9" ht="10.15" customHeight="1">
      <c r="A14" s="7">
        <v>2001</v>
      </c>
      <c r="B14" s="157">
        <v>71.569999999999993</v>
      </c>
      <c r="C14" s="157">
        <v>271.14</v>
      </c>
      <c r="D14" s="157">
        <v>40.200000000000003</v>
      </c>
      <c r="E14" s="157">
        <v>4.37</v>
      </c>
      <c r="F14" s="157">
        <v>21.59</v>
      </c>
      <c r="G14" s="157" t="s">
        <v>369</v>
      </c>
      <c r="H14" s="157">
        <v>19.399999999999999</v>
      </c>
      <c r="I14" s="157">
        <v>2.36</v>
      </c>
    </row>
    <row r="15" spans="1:9" ht="10.15" customHeight="1">
      <c r="A15" s="7">
        <v>2002</v>
      </c>
      <c r="B15" s="157">
        <v>70.650000000000006</v>
      </c>
      <c r="C15" s="157">
        <v>310.01</v>
      </c>
      <c r="D15" s="157">
        <v>35.31</v>
      </c>
      <c r="E15" s="157">
        <v>4.5999999999999996</v>
      </c>
      <c r="F15" s="157">
        <v>20.53</v>
      </c>
      <c r="G15" s="157" t="s">
        <v>370</v>
      </c>
      <c r="H15" s="157">
        <v>19</v>
      </c>
      <c r="I15" s="157">
        <v>3.77</v>
      </c>
    </row>
    <row r="16" spans="1:9" ht="10.15" customHeight="1">
      <c r="A16" s="7">
        <v>2003</v>
      </c>
      <c r="B16" s="157">
        <v>80.73</v>
      </c>
      <c r="C16" s="157">
        <v>363.78</v>
      </c>
      <c r="D16" s="157">
        <v>37.58</v>
      </c>
      <c r="E16" s="157">
        <v>4.88</v>
      </c>
      <c r="F16" s="157">
        <v>23.39</v>
      </c>
      <c r="G16" s="157" t="s">
        <v>371</v>
      </c>
      <c r="H16" s="157">
        <v>15.9</v>
      </c>
      <c r="I16" s="157">
        <v>5.32</v>
      </c>
    </row>
    <row r="17" spans="1:12" ht="10.15" customHeight="1">
      <c r="A17" s="7">
        <v>2004</v>
      </c>
      <c r="B17" s="157">
        <v>130.22</v>
      </c>
      <c r="C17" s="157">
        <v>409.56</v>
      </c>
      <c r="D17" s="157">
        <v>47.53</v>
      </c>
      <c r="E17" s="157">
        <v>6.66</v>
      </c>
      <c r="F17" s="157">
        <v>40.29</v>
      </c>
      <c r="G17" s="157" t="s">
        <v>372</v>
      </c>
      <c r="H17" s="157">
        <v>21.5</v>
      </c>
      <c r="I17" s="157">
        <v>16.420000000000002</v>
      </c>
    </row>
    <row r="18" spans="1:12" ht="10.15" customHeight="1">
      <c r="A18" s="7">
        <v>2005</v>
      </c>
      <c r="B18" s="157">
        <v>167.09</v>
      </c>
      <c r="C18" s="157">
        <v>444.99</v>
      </c>
      <c r="D18" s="157">
        <v>62.68</v>
      </c>
      <c r="E18" s="157">
        <v>7.31</v>
      </c>
      <c r="F18" s="157">
        <v>44.24</v>
      </c>
      <c r="G18" s="157" t="s">
        <v>373</v>
      </c>
      <c r="H18" s="157">
        <v>32.700000000000003</v>
      </c>
      <c r="I18" s="157">
        <v>31.73</v>
      </c>
    </row>
    <row r="19" spans="1:12" ht="10.15" customHeight="1">
      <c r="A19" s="7">
        <v>2006</v>
      </c>
      <c r="B19" s="157">
        <v>305.29000000000002</v>
      </c>
      <c r="C19" s="157">
        <v>604.34</v>
      </c>
      <c r="D19" s="157">
        <v>148.75</v>
      </c>
      <c r="E19" s="157">
        <v>11.55</v>
      </c>
      <c r="F19" s="157">
        <v>58.5</v>
      </c>
      <c r="G19" s="157" t="s">
        <v>374</v>
      </c>
      <c r="H19" s="157">
        <v>37.4</v>
      </c>
      <c r="I19" s="157">
        <v>24.75</v>
      </c>
    </row>
    <row r="20" spans="1:12" ht="10.15" customHeight="1">
      <c r="A20" s="7">
        <v>2007</v>
      </c>
      <c r="B20" s="157">
        <v>323.25</v>
      </c>
      <c r="C20" s="157">
        <v>696.43</v>
      </c>
      <c r="D20" s="157">
        <v>147.24</v>
      </c>
      <c r="E20" s="157">
        <v>13.38</v>
      </c>
      <c r="F20" s="157">
        <v>118.41</v>
      </c>
      <c r="G20" s="157" t="s">
        <v>375</v>
      </c>
      <c r="H20" s="157">
        <v>39.840000000000003</v>
      </c>
      <c r="I20" s="157">
        <v>30.17</v>
      </c>
    </row>
    <row r="21" spans="1:12" ht="10.15" customHeight="1">
      <c r="A21" s="7">
        <v>2008</v>
      </c>
      <c r="B21" s="157">
        <v>315.32</v>
      </c>
      <c r="C21" s="157">
        <v>872.37</v>
      </c>
      <c r="D21" s="157">
        <v>84.82</v>
      </c>
      <c r="E21" s="157">
        <v>14.99</v>
      </c>
      <c r="F21" s="157">
        <v>94.56</v>
      </c>
      <c r="G21" s="157" t="s">
        <v>376</v>
      </c>
      <c r="H21" s="157">
        <v>57.5</v>
      </c>
      <c r="I21" s="157">
        <v>28.74</v>
      </c>
    </row>
    <row r="22" spans="1:12" ht="10.15" customHeight="1">
      <c r="A22" s="7">
        <v>2009</v>
      </c>
      <c r="B22" s="157">
        <v>234.22</v>
      </c>
      <c r="C22" s="157">
        <v>973.66</v>
      </c>
      <c r="D22" s="157">
        <v>75.25</v>
      </c>
      <c r="E22" s="157">
        <v>14.67</v>
      </c>
      <c r="F22" s="157">
        <v>78.3</v>
      </c>
      <c r="G22" s="157" t="s">
        <v>377</v>
      </c>
      <c r="H22" s="157">
        <v>43.78</v>
      </c>
      <c r="I22" s="157">
        <v>11.12</v>
      </c>
    </row>
    <row r="23" spans="1:12" ht="10.15" customHeight="1">
      <c r="A23" s="7">
        <v>2010</v>
      </c>
      <c r="B23" s="157">
        <v>341.98</v>
      </c>
      <c r="C23" s="157">
        <v>1226.6600000000001</v>
      </c>
      <c r="D23" s="157">
        <v>97.92</v>
      </c>
      <c r="E23" s="157">
        <v>20.190000000000001</v>
      </c>
      <c r="F23" s="157">
        <v>97.41</v>
      </c>
      <c r="G23" s="157" t="s">
        <v>378</v>
      </c>
      <c r="H23" s="157">
        <v>68.17</v>
      </c>
      <c r="I23" s="157">
        <v>15.8</v>
      </c>
    </row>
    <row r="24" spans="1:12" ht="10.15" customHeight="1">
      <c r="A24" s="7">
        <v>2011</v>
      </c>
      <c r="B24" s="157">
        <v>399.66</v>
      </c>
      <c r="C24" s="157">
        <v>1573.16</v>
      </c>
      <c r="D24" s="157">
        <v>99.36</v>
      </c>
      <c r="E24" s="157">
        <v>35.119999999999997</v>
      </c>
      <c r="F24" s="157">
        <v>108.76</v>
      </c>
      <c r="G24" s="157" t="s">
        <v>379</v>
      </c>
      <c r="H24" s="157">
        <v>167.79</v>
      </c>
      <c r="I24" s="157">
        <v>15.45</v>
      </c>
    </row>
    <row r="25" spans="1:12" ht="10.15" customHeight="1">
      <c r="A25" s="7">
        <v>2012</v>
      </c>
      <c r="B25" s="157">
        <v>360.59</v>
      </c>
      <c r="C25" s="157">
        <v>1668.86</v>
      </c>
      <c r="D25" s="157">
        <v>88.29</v>
      </c>
      <c r="E25" s="157">
        <v>31.15</v>
      </c>
      <c r="F25" s="157">
        <v>93.5</v>
      </c>
      <c r="G25" s="157" t="s">
        <v>380</v>
      </c>
      <c r="H25" s="157">
        <v>128.53</v>
      </c>
      <c r="I25" s="157">
        <v>12.74</v>
      </c>
    </row>
    <row r="26" spans="1:12" ht="10.15" customHeight="1">
      <c r="A26" s="7">
        <v>2013</v>
      </c>
      <c r="B26" s="157">
        <v>332.12</v>
      </c>
      <c r="C26" s="157">
        <v>1409.51</v>
      </c>
      <c r="D26" s="157">
        <v>86.59</v>
      </c>
      <c r="E26" s="157">
        <v>23.79</v>
      </c>
      <c r="F26" s="157">
        <v>97.12</v>
      </c>
      <c r="G26" s="157" t="s">
        <v>381</v>
      </c>
      <c r="H26" s="157">
        <v>135.36000000000001</v>
      </c>
      <c r="I26" s="157">
        <v>10.32</v>
      </c>
    </row>
    <row r="27" spans="1:12" ht="10.15" customHeight="1">
      <c r="A27" s="7">
        <v>2014</v>
      </c>
      <c r="B27" s="157">
        <v>311.26</v>
      </c>
      <c r="C27" s="157">
        <v>1266.06</v>
      </c>
      <c r="D27" s="157">
        <v>98.18</v>
      </c>
      <c r="E27" s="157">
        <v>19.079999999999998</v>
      </c>
      <c r="F27" s="157">
        <v>95.07</v>
      </c>
      <c r="G27" s="157" t="s">
        <v>382</v>
      </c>
      <c r="H27" s="157">
        <v>96.84</v>
      </c>
      <c r="I27" s="157">
        <v>11.393000000000001</v>
      </c>
    </row>
    <row r="28" spans="1:12" ht="10.15" customHeight="1">
      <c r="A28" s="7">
        <v>2015</v>
      </c>
      <c r="B28" s="157">
        <v>249.23</v>
      </c>
      <c r="C28" s="157">
        <v>1159.82</v>
      </c>
      <c r="D28" s="157">
        <v>87.47</v>
      </c>
      <c r="E28" s="157">
        <v>15.68</v>
      </c>
      <c r="F28" s="157">
        <v>80.900000000000006</v>
      </c>
      <c r="G28" s="157" t="s">
        <v>383</v>
      </c>
      <c r="H28" s="157">
        <v>55.21</v>
      </c>
      <c r="I28" s="157">
        <v>6.6520000000000001</v>
      </c>
      <c r="J28" s="10"/>
    </row>
    <row r="29" spans="1:12" ht="10.15" customHeight="1">
      <c r="A29" s="7">
        <v>2016</v>
      </c>
      <c r="B29" s="157">
        <v>220.59249999999997</v>
      </c>
      <c r="C29" s="157">
        <v>1248.1625000000001</v>
      </c>
      <c r="D29" s="157">
        <v>94.832499999999996</v>
      </c>
      <c r="E29" s="157">
        <v>17.14</v>
      </c>
      <c r="F29" s="157">
        <v>84.89</v>
      </c>
      <c r="G29" s="157" t="s">
        <v>384</v>
      </c>
      <c r="H29" s="157">
        <v>57.705833333333345</v>
      </c>
      <c r="I29" s="157">
        <v>6.4840833333333334</v>
      </c>
    </row>
    <row r="30" spans="1:12" s="10" customFormat="1" ht="10.9" customHeight="1">
      <c r="A30" s="16">
        <v>2017</v>
      </c>
      <c r="B30" s="257">
        <v>261.15820492417282</v>
      </c>
      <c r="C30" s="257">
        <v>1233.7769827335135</v>
      </c>
      <c r="D30" s="257">
        <v>122.94201835296613</v>
      </c>
      <c r="E30" s="257">
        <v>17.445575889328062</v>
      </c>
      <c r="F30" s="257">
        <v>101.63120687840242</v>
      </c>
      <c r="G30" s="257">
        <v>909.85894019566854</v>
      </c>
      <c r="H30" s="257">
        <f>AVERAGE(H31:H35)</f>
        <v>77.77000000000001</v>
      </c>
      <c r="I30" s="257">
        <f>AVERAGE(I31:I35)</f>
        <v>8.1025999999999989</v>
      </c>
      <c r="J30" s="3"/>
      <c r="K30" s="3"/>
      <c r="L30" s="3"/>
    </row>
    <row r="31" spans="1:12" s="10" customFormat="1" ht="10.9" customHeight="1">
      <c r="A31" s="12" t="s">
        <v>262</v>
      </c>
      <c r="B31" s="18">
        <v>259.75791781449993</v>
      </c>
      <c r="C31" s="18">
        <v>1191.113636363636</v>
      </c>
      <c r="D31" s="18">
        <v>122.48231060099998</v>
      </c>
      <c r="E31" s="18">
        <v>16.857045454545453</v>
      </c>
      <c r="F31" s="18">
        <v>100.93564213424999</v>
      </c>
      <c r="G31" s="18">
        <v>941.91548305749973</v>
      </c>
      <c r="H31" s="18">
        <v>80.819999999999993</v>
      </c>
      <c r="I31" s="18">
        <v>7.3049999999999997</v>
      </c>
      <c r="J31" s="3"/>
      <c r="K31" s="3"/>
      <c r="L31" s="3"/>
    </row>
    <row r="32" spans="1:12" s="10" customFormat="1" ht="10.9" customHeight="1">
      <c r="A32" s="12" t="s">
        <v>263</v>
      </c>
      <c r="B32" s="18">
        <v>269.50417459735002</v>
      </c>
      <c r="C32" s="18">
        <v>1234.3400000000001</v>
      </c>
      <c r="D32" s="18">
        <v>129.03682343667498</v>
      </c>
      <c r="E32" s="18">
        <v>17.939500000000002</v>
      </c>
      <c r="F32" s="18">
        <v>105.31167452382502</v>
      </c>
      <c r="G32" s="18">
        <v>884.11956798549977</v>
      </c>
      <c r="H32" s="18">
        <v>88.8</v>
      </c>
      <c r="I32" s="18">
        <v>7.6390000000000002</v>
      </c>
      <c r="J32" s="3"/>
      <c r="K32" s="3"/>
      <c r="L32" s="3"/>
    </row>
    <row r="33" spans="1:12" s="10" customFormat="1" ht="10.9" customHeight="1">
      <c r="A33" s="12" t="s">
        <v>264</v>
      </c>
      <c r="B33" s="18">
        <v>264.0597842658695</v>
      </c>
      <c r="C33" s="18">
        <v>1231.0934782608692</v>
      </c>
      <c r="D33" s="18">
        <v>126.27814366726084</v>
      </c>
      <c r="E33" s="18">
        <v>17.630652173913042</v>
      </c>
      <c r="F33" s="18">
        <v>103.29678763417394</v>
      </c>
      <c r="G33" s="18">
        <v>899.54269463586957</v>
      </c>
      <c r="H33" s="18">
        <v>87.2</v>
      </c>
      <c r="I33" s="18">
        <v>8.5389999999999997</v>
      </c>
      <c r="J33" s="3"/>
      <c r="K33" s="3"/>
      <c r="L33" s="3"/>
    </row>
    <row r="34" spans="1:12" s="10" customFormat="1" ht="10.9" customHeight="1">
      <c r="A34" s="12" t="s">
        <v>365</v>
      </c>
      <c r="B34" s="18">
        <v>258.52855227389477</v>
      </c>
      <c r="C34" s="18">
        <v>1266.4105263157892</v>
      </c>
      <c r="D34" s="18">
        <v>119.32105392089474</v>
      </c>
      <c r="E34" s="18">
        <v>18.05</v>
      </c>
      <c r="F34" s="18">
        <v>101.58439858976314</v>
      </c>
      <c r="G34" s="18">
        <v>906.63565449947362</v>
      </c>
      <c r="H34" s="18">
        <v>70.400000000000006</v>
      </c>
      <c r="I34" s="18">
        <v>8.8379999999999992</v>
      </c>
      <c r="J34" s="3"/>
      <c r="K34" s="3"/>
      <c r="L34" s="3"/>
    </row>
    <row r="35" spans="1:12" s="10" customFormat="1" ht="10.9" customHeight="1">
      <c r="A35" s="12" t="s">
        <v>698</v>
      </c>
      <c r="B35" s="18">
        <v>253.94059566924997</v>
      </c>
      <c r="C35" s="18">
        <v>1245.9272727272726</v>
      </c>
      <c r="D35" s="18">
        <v>117.591760139</v>
      </c>
      <c r="E35" s="18">
        <v>16.750681818181814</v>
      </c>
      <c r="F35" s="18">
        <v>97.027531510000017</v>
      </c>
      <c r="G35" s="18">
        <v>917.08130079999978</v>
      </c>
      <c r="H35" s="18">
        <v>61.63</v>
      </c>
      <c r="I35" s="18">
        <v>8.1920000000000002</v>
      </c>
      <c r="J35" s="3"/>
      <c r="K35" s="3"/>
      <c r="L35" s="3"/>
    </row>
    <row r="37" spans="1:12" s="254" customFormat="1" ht="9" customHeight="1">
      <c r="A37" s="253" t="s">
        <v>317</v>
      </c>
      <c r="B37" s="253"/>
      <c r="C37" s="253"/>
      <c r="D37" s="253"/>
      <c r="E37" s="253"/>
      <c r="F37" s="253"/>
      <c r="G37" s="253"/>
      <c r="H37" s="253"/>
      <c r="I37" s="253"/>
    </row>
    <row r="38" spans="1:12" s="254" customFormat="1" ht="9" customHeight="1">
      <c r="A38" s="255" t="s">
        <v>318</v>
      </c>
      <c r="B38" s="255"/>
      <c r="C38" s="255"/>
      <c r="D38" s="255"/>
      <c r="E38" s="255"/>
      <c r="F38" s="255"/>
      <c r="G38" s="255"/>
      <c r="H38" s="255"/>
      <c r="I38" s="255"/>
    </row>
    <row r="39" spans="1:12" s="254" customFormat="1" ht="9" customHeight="1">
      <c r="A39" s="255" t="s">
        <v>319</v>
      </c>
      <c r="B39" s="255"/>
      <c r="C39" s="255"/>
      <c r="D39" s="255"/>
      <c r="E39" s="255"/>
      <c r="F39" s="255"/>
      <c r="G39" s="255"/>
      <c r="H39" s="255"/>
      <c r="I39" s="255"/>
    </row>
    <row r="40" spans="1:12" s="254" customFormat="1" ht="9" customHeight="1">
      <c r="A40" s="256" t="s">
        <v>320</v>
      </c>
      <c r="B40" s="256"/>
      <c r="C40" s="256"/>
      <c r="D40" s="256"/>
      <c r="E40" s="256"/>
      <c r="F40" s="256"/>
      <c r="G40" s="256"/>
      <c r="H40" s="256"/>
      <c r="I40" s="256"/>
    </row>
  </sheetData>
  <pageMargins left="0.7" right="0.7" top="0.75" bottom="0.75" header="0.3" footer="0.3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0"/>
    <pageSetUpPr fitToPage="1"/>
  </sheetPr>
  <dimension ref="A1:K53"/>
  <sheetViews>
    <sheetView zoomScale="115" zoomScaleNormal="115" workbookViewId="0"/>
  </sheetViews>
  <sheetFormatPr baseColWidth="10" defaultColWidth="11.5703125" defaultRowHeight="12"/>
  <cols>
    <col min="1" max="1" width="17" style="10" customWidth="1"/>
    <col min="2" max="5" width="17.7109375" style="18" customWidth="1"/>
    <col min="6" max="11" width="17.7109375" style="12" customWidth="1"/>
    <col min="12" max="16384" width="11.5703125" style="10"/>
  </cols>
  <sheetData>
    <row r="1" spans="1:11" ht="15">
      <c r="A1" s="34" t="s">
        <v>231</v>
      </c>
    </row>
    <row r="2" spans="1:11" ht="15">
      <c r="A2" s="34" t="s">
        <v>149</v>
      </c>
    </row>
    <row r="3" spans="1:11">
      <c r="A3" s="33" t="s">
        <v>86</v>
      </c>
      <c r="G3" s="28"/>
      <c r="H3" s="28"/>
    </row>
    <row r="4" spans="1:11">
      <c r="A4" s="58"/>
      <c r="G4" s="28"/>
      <c r="H4" s="28"/>
    </row>
    <row r="6" spans="1:11">
      <c r="E6" s="12"/>
    </row>
    <row r="7" spans="1:11">
      <c r="A7" s="186" t="s">
        <v>233</v>
      </c>
      <c r="B7" s="187">
        <v>2008</v>
      </c>
      <c r="C7" s="187">
        <v>2009</v>
      </c>
      <c r="D7" s="187">
        <v>2010</v>
      </c>
      <c r="E7" s="187">
        <v>2011</v>
      </c>
      <c r="F7" s="187">
        <v>2012</v>
      </c>
      <c r="G7" s="187">
        <v>2013</v>
      </c>
      <c r="H7" s="187">
        <v>2014</v>
      </c>
      <c r="I7" s="187">
        <v>2015</v>
      </c>
      <c r="J7" s="187">
        <v>2016</v>
      </c>
      <c r="K7" s="187">
        <v>2017</v>
      </c>
    </row>
    <row r="8" spans="1:11">
      <c r="A8" s="33" t="s">
        <v>87</v>
      </c>
      <c r="B8" s="36">
        <v>1414622.5998</v>
      </c>
      <c r="C8" s="36">
        <v>2037639.677724174</v>
      </c>
      <c r="D8" s="36">
        <v>2682789.5075251227</v>
      </c>
      <c r="E8" s="36">
        <v>2917749.7190824146</v>
      </c>
      <c r="F8" s="36">
        <v>2885886.5143818362</v>
      </c>
      <c r="G8" s="36">
        <v>2599069.3519712551</v>
      </c>
      <c r="H8" s="36">
        <v>1825852.0229200001</v>
      </c>
      <c r="I8" s="36">
        <v>1957001.2064799997</v>
      </c>
      <c r="J8" s="36">
        <f>'08.2 TRANSF. CANON'!J6+'08.3 REGALIAS MINERAS'!J7+'08.4 DER. VIGENCIA PENALIDAD'!J8</f>
        <v>1553579.1421999999</v>
      </c>
      <c r="K8" s="36">
        <f>'08.2 TRANSF. CANON'!K6+'08.3 REGALIAS MINERAS'!K7+'08.4 DER. VIGENCIA PENALIDAD'!K8</f>
        <v>151300.03519999998</v>
      </c>
    </row>
    <row r="9" spans="1:11">
      <c r="A9" s="33" t="s">
        <v>88</v>
      </c>
      <c r="B9" s="36">
        <v>1639695237.9955001</v>
      </c>
      <c r="C9" s="36">
        <v>1332321905.4593287</v>
      </c>
      <c r="D9" s="36">
        <v>864662329.54954934</v>
      </c>
      <c r="E9" s="36">
        <v>794731907.03502786</v>
      </c>
      <c r="F9" s="36">
        <v>770582075.2986815</v>
      </c>
      <c r="G9" s="36">
        <v>1015864460.7110069</v>
      </c>
      <c r="H9" s="36">
        <v>1019235893.7081801</v>
      </c>
      <c r="I9" s="36">
        <v>748108985.37879992</v>
      </c>
      <c r="J9" s="36">
        <f>'08.2 TRANSF. CANON'!J7+'08.3 REGALIAS MINERAS'!J8+'08.4 DER. VIGENCIA PENALIDAD'!J9</f>
        <v>397241204.42621374</v>
      </c>
      <c r="K9" s="36">
        <f>'08.2 TRANSF. CANON'!K7+'08.3 REGALIAS MINERAS'!K8+'08.4 DER. VIGENCIA PENALIDAD'!K9</f>
        <v>92969283.611200005</v>
      </c>
    </row>
    <row r="10" spans="1:11">
      <c r="A10" s="33" t="s">
        <v>89</v>
      </c>
      <c r="B10" s="36">
        <v>30546062.279300001</v>
      </c>
      <c r="C10" s="36">
        <v>32235283.902984001</v>
      </c>
      <c r="D10" s="36">
        <v>17362096.381994702</v>
      </c>
      <c r="E10" s="36">
        <v>7456590.0871504145</v>
      </c>
      <c r="F10" s="36">
        <v>10352473.908096461</v>
      </c>
      <c r="G10" s="36">
        <v>16258265.793091137</v>
      </c>
      <c r="H10" s="36">
        <v>23194328.631980002</v>
      </c>
      <c r="I10" s="36">
        <v>12359816.467359999</v>
      </c>
      <c r="J10" s="36">
        <f>'08.2 TRANSF. CANON'!J8+'08.3 REGALIAS MINERAS'!J9+'08.4 DER. VIGENCIA PENALIDAD'!J10</f>
        <v>21528301.033251449</v>
      </c>
      <c r="K10" s="36">
        <f>'08.2 TRANSF. CANON'!K8+'08.3 REGALIAS MINERAS'!K9+'08.4 DER. VIGENCIA PENALIDAD'!K10</f>
        <v>3975018.4227999998</v>
      </c>
    </row>
    <row r="11" spans="1:11">
      <c r="A11" s="33" t="s">
        <v>90</v>
      </c>
      <c r="B11" s="36">
        <v>184005165.75759998</v>
      </c>
      <c r="C11" s="36">
        <v>501658386.51776475</v>
      </c>
      <c r="D11" s="36">
        <v>581694791.77875829</v>
      </c>
      <c r="E11" s="36">
        <v>412482426.79868722</v>
      </c>
      <c r="F11" s="36">
        <v>743425104.30328166</v>
      </c>
      <c r="G11" s="36">
        <v>834558660.0002594</v>
      </c>
      <c r="H11" s="36">
        <v>495471646.73208004</v>
      </c>
      <c r="I11" s="36">
        <v>465207945.24327993</v>
      </c>
      <c r="J11" s="36">
        <f>'08.2 TRANSF. CANON'!J9+'08.3 REGALIAS MINERAS'!J10+'08.4 DER. VIGENCIA PENALIDAD'!J11</f>
        <v>399551676.75120962</v>
      </c>
      <c r="K11" s="36">
        <f>'08.2 TRANSF. CANON'!K9+'08.3 REGALIAS MINERAS'!K10+'08.4 DER. VIGENCIA PENALIDAD'!K11</f>
        <v>117706421.32220002</v>
      </c>
    </row>
    <row r="12" spans="1:11">
      <c r="A12" s="33" t="s">
        <v>91</v>
      </c>
      <c r="B12" s="36">
        <v>28932163.848300003</v>
      </c>
      <c r="C12" s="36">
        <v>51057776.673486635</v>
      </c>
      <c r="D12" s="36">
        <v>20169722.284334257</v>
      </c>
      <c r="E12" s="36">
        <v>56291528.187267631</v>
      </c>
      <c r="F12" s="36">
        <v>93335995.644704983</v>
      </c>
      <c r="G12" s="36">
        <v>103933365.26069061</v>
      </c>
      <c r="H12" s="36">
        <v>35571156.517959997</v>
      </c>
      <c r="I12" s="36">
        <v>22621632.429839998</v>
      </c>
      <c r="J12" s="36">
        <f>'08.2 TRANSF. CANON'!J10+'08.3 REGALIAS MINERAS'!J11+'08.4 DER. VIGENCIA PENALIDAD'!J12</f>
        <v>39934274.274011515</v>
      </c>
      <c r="K12" s="36">
        <f>'08.2 TRANSF. CANON'!K10+'08.3 REGALIAS MINERAS'!K11+'08.4 DER. VIGENCIA PENALIDAD'!K12</f>
        <v>9901897.4070000015</v>
      </c>
    </row>
    <row r="13" spans="1:11">
      <c r="A13" s="33" t="s">
        <v>92</v>
      </c>
      <c r="B13" s="36">
        <v>595177993.87389994</v>
      </c>
      <c r="C13" s="36">
        <v>197276723.27377081</v>
      </c>
      <c r="D13" s="36">
        <v>256033968.55698672</v>
      </c>
      <c r="E13" s="36">
        <v>483863876.18651074</v>
      </c>
      <c r="F13" s="36">
        <v>522692115.35276073</v>
      </c>
      <c r="G13" s="36">
        <v>609316360.66507769</v>
      </c>
      <c r="H13" s="36">
        <v>629747254.67443991</v>
      </c>
      <c r="I13" s="36">
        <v>411623262.44224</v>
      </c>
      <c r="J13" s="36">
        <f>'08.2 TRANSF. CANON'!J11+'08.3 REGALIAS MINERAS'!J12+'08.4 DER. VIGENCIA PENALIDAD'!J13</f>
        <v>278735159.7598567</v>
      </c>
      <c r="K13" s="36">
        <f>'08.2 TRANSF. CANON'!K11+'08.3 REGALIAS MINERAS'!K12+'08.4 DER. VIGENCIA PENALIDAD'!K13</f>
        <v>26547494.658600003</v>
      </c>
    </row>
    <row r="14" spans="1:11">
      <c r="A14" s="33" t="s">
        <v>93</v>
      </c>
      <c r="B14" s="36">
        <v>10757.711800000001</v>
      </c>
      <c r="C14" s="36">
        <v>13186.780776316482</v>
      </c>
      <c r="D14" s="36">
        <v>11277.203526444284</v>
      </c>
      <c r="E14" s="36">
        <v>22442.175658171251</v>
      </c>
      <c r="F14" s="36">
        <v>5142.9157128230454</v>
      </c>
      <c r="G14" s="36">
        <v>8691.0249344109852</v>
      </c>
      <c r="H14" s="36">
        <v>17994.093239999998</v>
      </c>
      <c r="I14" s="36">
        <v>16281.536479999999</v>
      </c>
      <c r="J14" s="36">
        <f>'08.2 TRANSF. CANON'!J12+'08.3 REGALIAS MINERAS'!J13+'08.4 DER. VIGENCIA PENALIDAD'!J14</f>
        <v>33929.913199999995</v>
      </c>
      <c r="K14" s="36">
        <f>'08.2 TRANSF. CANON'!K12+'08.3 REGALIAS MINERAS'!K13+'08.4 DER. VIGENCIA PENALIDAD'!K14</f>
        <v>733.5</v>
      </c>
    </row>
    <row r="15" spans="1:11">
      <c r="A15" s="33" t="s">
        <v>94</v>
      </c>
      <c r="B15" s="36">
        <v>279368425.94409996</v>
      </c>
      <c r="C15" s="36">
        <v>250741998.31695116</v>
      </c>
      <c r="D15" s="36">
        <v>143603003.3838864</v>
      </c>
      <c r="E15" s="36">
        <v>130630809.76498613</v>
      </c>
      <c r="F15" s="36">
        <v>219739294.43000156</v>
      </c>
      <c r="G15" s="36">
        <v>396420696.80841982</v>
      </c>
      <c r="H15" s="36">
        <v>68682450.3002</v>
      </c>
      <c r="I15" s="36">
        <v>150877029.19295999</v>
      </c>
      <c r="J15" s="36">
        <f>'08.2 TRANSF. CANON'!J13+'08.3 REGALIAS MINERAS'!J14+'08.4 DER. VIGENCIA PENALIDAD'!J15</f>
        <v>174060577.87575829</v>
      </c>
      <c r="K15" s="36">
        <f>'08.2 TRANSF. CANON'!K13+'08.3 REGALIAS MINERAS'!K14+'08.4 DER. VIGENCIA PENALIDAD'!K15</f>
        <v>63823702.6862</v>
      </c>
    </row>
    <row r="16" spans="1:11">
      <c r="A16" s="33" t="s">
        <v>95</v>
      </c>
      <c r="B16" s="36">
        <v>51113647.882200003</v>
      </c>
      <c r="C16" s="36">
        <v>67356765.200979695</v>
      </c>
      <c r="D16" s="36">
        <v>29419025.851064824</v>
      </c>
      <c r="E16" s="36">
        <v>22869908.83790103</v>
      </c>
      <c r="F16" s="36">
        <v>37913552.780751623</v>
      </c>
      <c r="G16" s="36">
        <v>33372077.099185344</v>
      </c>
      <c r="H16" s="36">
        <v>24907916.53678</v>
      </c>
      <c r="I16" s="36">
        <v>18203655.44184</v>
      </c>
      <c r="J16" s="36">
        <f>'08.2 TRANSF. CANON'!J14+'08.3 REGALIAS MINERAS'!J15+'08.4 DER. VIGENCIA PENALIDAD'!J16</f>
        <v>15202766.473095506</v>
      </c>
      <c r="K16" s="36">
        <f>'08.2 TRANSF. CANON'!K14+'08.3 REGALIAS MINERAS'!K15+'08.4 DER. VIGENCIA PENALIDAD'!K16</f>
        <v>2974591.1765999999</v>
      </c>
    </row>
    <row r="17" spans="1:11">
      <c r="A17" s="33" t="s">
        <v>96</v>
      </c>
      <c r="B17" s="36">
        <v>15389907.5494</v>
      </c>
      <c r="C17" s="36">
        <v>12124101.277941577</v>
      </c>
      <c r="D17" s="36">
        <v>4938485.7320551425</v>
      </c>
      <c r="E17" s="36">
        <v>4586447.4102538563</v>
      </c>
      <c r="F17" s="36">
        <v>8485729.9313526191</v>
      </c>
      <c r="G17" s="36">
        <v>7778782.4031547066</v>
      </c>
      <c r="H17" s="36">
        <v>5030770.7491999995</v>
      </c>
      <c r="I17" s="36">
        <v>4481267.1912000002</v>
      </c>
      <c r="J17" s="36">
        <f>'08.2 TRANSF. CANON'!J15+'08.3 REGALIAS MINERAS'!J16+'08.4 DER. VIGENCIA PENALIDAD'!J17</f>
        <v>5384865.3130587833</v>
      </c>
      <c r="K17" s="36">
        <f>'08.2 TRANSF. CANON'!K15+'08.3 REGALIAS MINERAS'!K16+'08.4 DER. VIGENCIA PENALIDAD'!K17</f>
        <v>1680494.0962</v>
      </c>
    </row>
    <row r="18" spans="1:11">
      <c r="A18" s="33" t="s">
        <v>97</v>
      </c>
      <c r="B18" s="36">
        <v>76905707.542599991</v>
      </c>
      <c r="C18" s="36">
        <v>83369188.034479722</v>
      </c>
      <c r="D18" s="36">
        <v>121588575.0359932</v>
      </c>
      <c r="E18" s="36">
        <v>83859562.307208538</v>
      </c>
      <c r="F18" s="36">
        <v>235060437.44280097</v>
      </c>
      <c r="G18" s="36">
        <v>401195537.72356755</v>
      </c>
      <c r="H18" s="36">
        <v>230490249.6651406</v>
      </c>
      <c r="I18" s="36">
        <v>288055484.15719998</v>
      </c>
      <c r="J18" s="36">
        <f>'08.2 TRANSF. CANON'!J16+'08.3 REGALIAS MINERAS'!J17+'08.4 DER. VIGENCIA PENALIDAD'!J18</f>
        <v>73677188.644798443</v>
      </c>
      <c r="K18" s="36">
        <f>'08.2 TRANSF. CANON'!K16+'08.3 REGALIAS MINERAS'!K17+'08.4 DER. VIGENCIA PENALIDAD'!K18</f>
        <v>6647795.4395999992</v>
      </c>
    </row>
    <row r="19" spans="1:11">
      <c r="A19" s="33" t="s">
        <v>98</v>
      </c>
      <c r="B19" s="36">
        <v>155947579.30630001</v>
      </c>
      <c r="C19" s="36">
        <v>155734539.65298778</v>
      </c>
      <c r="D19" s="36">
        <v>63676951.813635752</v>
      </c>
      <c r="E19" s="36">
        <v>104704001.50625034</v>
      </c>
      <c r="F19" s="36">
        <v>136496760.66062248</v>
      </c>
      <c r="G19" s="36">
        <v>129925948.67495766</v>
      </c>
      <c r="H19" s="36">
        <v>93695808.049779996</v>
      </c>
      <c r="I19" s="36">
        <v>45498783.514799997</v>
      </c>
      <c r="J19" s="36">
        <f>'08.2 TRANSF. CANON'!J17+'08.3 REGALIAS MINERAS'!J18+'08.4 DER. VIGENCIA PENALIDAD'!J19</f>
        <v>60847155.913522385</v>
      </c>
      <c r="K19" s="36">
        <f>'08.2 TRANSF. CANON'!K17+'08.3 REGALIAS MINERAS'!K18+'08.4 DER. VIGENCIA PENALIDAD'!K19</f>
        <v>17263677.874000002</v>
      </c>
    </row>
    <row r="20" spans="1:11">
      <c r="A20" s="33" t="s">
        <v>99</v>
      </c>
      <c r="B20" s="36">
        <v>308331506.80979997</v>
      </c>
      <c r="C20" s="36">
        <v>298011458.98555273</v>
      </c>
      <c r="D20" s="36">
        <v>408525372.08038211</v>
      </c>
      <c r="E20" s="36">
        <v>475092520.04335213</v>
      </c>
      <c r="F20" s="36">
        <v>533515484.93588352</v>
      </c>
      <c r="G20" s="36">
        <v>607324121.99845195</v>
      </c>
      <c r="H20" s="36">
        <v>601975758.16471994</v>
      </c>
      <c r="I20" s="36">
        <v>408796725.38536</v>
      </c>
      <c r="J20" s="36">
        <f>'08.2 TRANSF. CANON'!J18+'08.3 REGALIAS MINERAS'!J19+'08.4 DER. VIGENCIA PENALIDAD'!J20</f>
        <v>310235381.18455046</v>
      </c>
      <c r="K20" s="36">
        <f>'08.2 TRANSF. CANON'!K18+'08.3 REGALIAS MINERAS'!K19+'08.4 DER. VIGENCIA PENALIDAD'!K20</f>
        <v>27114930.841999996</v>
      </c>
    </row>
    <row r="21" spans="1:11">
      <c r="A21" s="33" t="s">
        <v>100</v>
      </c>
      <c r="B21" s="36">
        <v>599083.25780000002</v>
      </c>
      <c r="C21" s="36">
        <v>1059665.7928002398</v>
      </c>
      <c r="D21" s="36">
        <v>1697802.6951710866</v>
      </c>
      <c r="E21" s="36">
        <v>1663173.2381679008</v>
      </c>
      <c r="F21" s="36">
        <v>2417239.194722211</v>
      </c>
      <c r="G21" s="36">
        <v>2208583.4198764423</v>
      </c>
      <c r="H21" s="36">
        <v>1739908.2035400001</v>
      </c>
      <c r="I21" s="36">
        <v>2045578.206</v>
      </c>
      <c r="J21" s="36">
        <f>'08.2 TRANSF. CANON'!J19+'08.3 REGALIAS MINERAS'!J20+'08.4 DER. VIGENCIA PENALIDAD'!J21</f>
        <v>2970444.1677999999</v>
      </c>
      <c r="K21" s="36">
        <f>'08.2 TRANSF. CANON'!K19+'08.3 REGALIAS MINERAS'!K20+'08.4 DER. VIGENCIA PENALIDAD'!K21</f>
        <v>274629.73499999999</v>
      </c>
    </row>
    <row r="22" spans="1:11">
      <c r="A22" s="33" t="s">
        <v>101</v>
      </c>
      <c r="B22" s="36">
        <v>251909596.25</v>
      </c>
      <c r="C22" s="36">
        <v>233783431.72630557</v>
      </c>
      <c r="D22" s="36">
        <v>95008445.068673864</v>
      </c>
      <c r="E22" s="36">
        <v>117783126.9414579</v>
      </c>
      <c r="F22" s="36">
        <v>186330859.10603899</v>
      </c>
      <c r="G22" s="36">
        <v>199901479.13317117</v>
      </c>
      <c r="H22" s="36">
        <v>145750026.01084</v>
      </c>
      <c r="I22" s="36">
        <v>91464145.697760001</v>
      </c>
      <c r="J22" s="36">
        <f>'08.2 TRANSF. CANON'!J20+'08.3 REGALIAS MINERAS'!J21+'08.4 DER. VIGENCIA PENALIDAD'!J22</f>
        <v>87032168.288113415</v>
      </c>
      <c r="K22" s="36">
        <f>'08.2 TRANSF. CANON'!K20+'08.3 REGALIAS MINERAS'!K21+'08.4 DER. VIGENCIA PENALIDAD'!K22</f>
        <v>21588909.4408</v>
      </c>
    </row>
    <row r="23" spans="1:11">
      <c r="A23" s="33" t="s">
        <v>102</v>
      </c>
      <c r="B23" s="36">
        <v>214350.89860000001</v>
      </c>
      <c r="C23" s="36">
        <v>418151.15014961758</v>
      </c>
      <c r="D23" s="36">
        <v>477062.15524675179</v>
      </c>
      <c r="E23" s="36">
        <v>114580.23345233868</v>
      </c>
      <c r="F23" s="36">
        <v>488981.38280839717</v>
      </c>
      <c r="G23" s="36">
        <v>589887.75891903555</v>
      </c>
      <c r="H23" s="36">
        <v>414056.74178000004</v>
      </c>
      <c r="I23" s="36">
        <v>465466.93167999998</v>
      </c>
      <c r="J23" s="36">
        <f>'08.2 TRANSF. CANON'!J21+'08.3 REGALIAS MINERAS'!J22+'08.4 DER. VIGENCIA PENALIDAD'!J23</f>
        <v>105507.45499999999</v>
      </c>
      <c r="K23" s="36">
        <f>'08.2 TRANSF. CANON'!K21+'08.3 REGALIAS MINERAS'!K22+'08.4 DER. VIGENCIA PENALIDAD'!K23</f>
        <v>0</v>
      </c>
    </row>
    <row r="24" spans="1:11">
      <c r="A24" s="33" t="s">
        <v>103</v>
      </c>
      <c r="B24" s="36">
        <v>1453939.7741999999</v>
      </c>
      <c r="C24" s="36">
        <v>1551357.1201049828</v>
      </c>
      <c r="D24" s="36">
        <v>1859395.4470035345</v>
      </c>
      <c r="E24" s="36">
        <v>1986445.1567431935</v>
      </c>
      <c r="F24" s="36">
        <v>2207435.8189031449</v>
      </c>
      <c r="G24" s="36">
        <v>3050291.1766951731</v>
      </c>
      <c r="H24" s="36">
        <v>5120161.9310600003</v>
      </c>
      <c r="I24" s="36">
        <v>4484740.0181599995</v>
      </c>
      <c r="J24" s="36">
        <f>'08.2 TRANSF. CANON'!J22+'08.3 REGALIAS MINERAS'!J23+'08.4 DER. VIGENCIA PENALIDAD'!J24</f>
        <v>7070181.0129999993</v>
      </c>
      <c r="K24" s="36">
        <f>'08.2 TRANSF. CANON'!K22+'08.3 REGALIAS MINERAS'!K23+'08.4 DER. VIGENCIA PENALIDAD'!K24</f>
        <v>325659.00400000002</v>
      </c>
    </row>
    <row r="25" spans="1:11">
      <c r="A25" s="33" t="s">
        <v>104</v>
      </c>
      <c r="B25" s="36">
        <v>586127658.2802</v>
      </c>
      <c r="C25" s="36">
        <v>319895057.51610309</v>
      </c>
      <c r="D25" s="36">
        <v>446120182.9646666</v>
      </c>
      <c r="E25" s="36">
        <v>345257084.74441558</v>
      </c>
      <c r="F25" s="36">
        <v>500118580.71051222</v>
      </c>
      <c r="G25" s="36">
        <v>421321618.06921977</v>
      </c>
      <c r="H25" s="36">
        <v>362196812.37268001</v>
      </c>
      <c r="I25" s="36">
        <v>303773208.22975999</v>
      </c>
      <c r="J25" s="36">
        <f>'08.2 TRANSF. CANON'!J23+'08.3 REGALIAS MINERAS'!J24+'08.4 DER. VIGENCIA PENALIDAD'!J25</f>
        <v>225809459.89780262</v>
      </c>
      <c r="K25" s="36">
        <f>'08.2 TRANSF. CANON'!K23+'08.3 REGALIAS MINERAS'!K24+'08.4 DER. VIGENCIA PENALIDAD'!K25</f>
        <v>17868997.5262</v>
      </c>
    </row>
    <row r="26" spans="1:11">
      <c r="A26" s="33" t="s">
        <v>105</v>
      </c>
      <c r="B26" s="36">
        <v>451362728.24669999</v>
      </c>
      <c r="C26" s="36">
        <v>438974377.01479346</v>
      </c>
      <c r="D26" s="36">
        <v>147895217.47337314</v>
      </c>
      <c r="E26" s="36">
        <v>206278602.87626642</v>
      </c>
      <c r="F26" s="36">
        <v>261270046.13078004</v>
      </c>
      <c r="G26" s="36">
        <v>227450185.27691138</v>
      </c>
      <c r="H26" s="36">
        <v>128872727.13410001</v>
      </c>
      <c r="I26" s="36">
        <v>85954084.441439986</v>
      </c>
      <c r="J26" s="36">
        <f>'08.2 TRANSF. CANON'!J24+'08.3 REGALIAS MINERAS'!J25+'08.4 DER. VIGENCIA PENALIDAD'!J26</f>
        <v>43139785.983637348</v>
      </c>
      <c r="K26" s="36">
        <f>'08.2 TRANSF. CANON'!K24+'08.3 REGALIAS MINERAS'!K25+'08.4 DER. VIGENCIA PENALIDAD'!K26</f>
        <v>15720181.5132</v>
      </c>
    </row>
    <row r="27" spans="1:11">
      <c r="A27" s="33" t="s">
        <v>106</v>
      </c>
      <c r="B27" s="36">
        <v>3687658.5786000001</v>
      </c>
      <c r="C27" s="36">
        <v>5412573.3953502765</v>
      </c>
      <c r="D27" s="36">
        <v>5377922.3562381808</v>
      </c>
      <c r="E27" s="36">
        <v>5306423.1324795112</v>
      </c>
      <c r="F27" s="36">
        <v>5455625.2764978996</v>
      </c>
      <c r="G27" s="36">
        <v>6632227.9950636607</v>
      </c>
      <c r="H27" s="36">
        <v>12665687.461540002</v>
      </c>
      <c r="I27" s="36">
        <v>11693265.65992</v>
      </c>
      <c r="J27" s="36">
        <f>'08.2 TRANSF. CANON'!J25+'08.3 REGALIAS MINERAS'!J26+'08.4 DER. VIGENCIA PENALIDAD'!J27</f>
        <v>40099774.299650505</v>
      </c>
      <c r="K27" s="36">
        <f>'08.2 TRANSF. CANON'!K25+'08.3 REGALIAS MINERAS'!K26+'08.4 DER. VIGENCIA PENALIDAD'!K27</f>
        <v>851629.05800000008</v>
      </c>
    </row>
    <row r="28" spans="1:11">
      <c r="A28" s="33" t="s">
        <v>107</v>
      </c>
      <c r="B28" s="36">
        <v>187761005.57690001</v>
      </c>
      <c r="C28" s="36">
        <v>241942667.53183195</v>
      </c>
      <c r="D28" s="36">
        <v>293447473.11829656</v>
      </c>
      <c r="E28" s="36">
        <v>260812911.4911198</v>
      </c>
      <c r="F28" s="36">
        <v>397361014.50526154</v>
      </c>
      <c r="G28" s="36">
        <v>377115469.72351629</v>
      </c>
      <c r="H28" s="36">
        <v>275624663.42460001</v>
      </c>
      <c r="I28" s="36">
        <v>237485100.12136</v>
      </c>
      <c r="J28" s="36">
        <f>'08.2 TRANSF. CANON'!J26+'08.3 REGALIAS MINERAS'!J27+'08.4 DER. VIGENCIA PENALIDAD'!J28</f>
        <v>122134194.42960674</v>
      </c>
      <c r="K28" s="36">
        <f>'08.2 TRANSF. CANON'!K26+'08.3 REGALIAS MINERAS'!K27+'08.4 DER. VIGENCIA PENALIDAD'!K28</f>
        <v>19381202.268599998</v>
      </c>
    </row>
    <row r="29" spans="1:11">
      <c r="A29" s="33" t="s">
        <v>108</v>
      </c>
      <c r="B29" s="36">
        <v>1132844.8647</v>
      </c>
      <c r="C29" s="36">
        <v>1527023.8140482651</v>
      </c>
      <c r="D29" s="36">
        <v>1192003.3957302771</v>
      </c>
      <c r="E29" s="36">
        <v>1383843.2131051037</v>
      </c>
      <c r="F29" s="36">
        <v>1561706.4410984239</v>
      </c>
      <c r="G29" s="36">
        <v>2013543.8280217585</v>
      </c>
      <c r="H29" s="36">
        <v>1576367.9918800001</v>
      </c>
      <c r="I29" s="36">
        <v>3115735.1436799997</v>
      </c>
      <c r="J29" s="36">
        <f>'08.2 TRANSF. CANON'!J27+'08.3 REGALIAS MINERAS'!J28+'08.4 DER. VIGENCIA PENALIDAD'!J29</f>
        <v>2559411.0832000002</v>
      </c>
      <c r="K29" s="36">
        <f>'08.2 TRANSF. CANON'!K27+'08.3 REGALIAS MINERAS'!K28+'08.4 DER. VIGENCIA PENALIDAD'!K29</f>
        <v>152259.97</v>
      </c>
    </row>
    <row r="30" spans="1:11">
      <c r="A30" s="33" t="s">
        <v>109</v>
      </c>
      <c r="B30" s="36">
        <v>881815168.60259998</v>
      </c>
      <c r="C30" s="36">
        <v>799467984.10479236</v>
      </c>
      <c r="D30" s="36">
        <v>351246840.4315868</v>
      </c>
      <c r="E30" s="36">
        <v>278801911.78170145</v>
      </c>
      <c r="F30" s="36">
        <v>459989093.80042839</v>
      </c>
      <c r="G30" s="36">
        <v>386564323.60621232</v>
      </c>
      <c r="H30" s="36">
        <v>304535228.34421998</v>
      </c>
      <c r="I30" s="36">
        <v>279236762.76184005</v>
      </c>
      <c r="J30" s="36">
        <f>'08.2 TRANSF. CANON'!J28+'08.3 REGALIAS MINERAS'!J29+'08.4 DER. VIGENCIA PENALIDAD'!J30</f>
        <v>214765362.31498647</v>
      </c>
      <c r="K30" s="36">
        <f>'08.2 TRANSF. CANON'!K28+'08.3 REGALIAS MINERAS'!K29+'08.4 DER. VIGENCIA PENALIDAD'!K30</f>
        <v>17228435.489</v>
      </c>
    </row>
    <row r="31" spans="1:11">
      <c r="A31" s="33" t="s">
        <v>110</v>
      </c>
      <c r="B31" s="36">
        <v>10809.351299999998</v>
      </c>
      <c r="C31" s="36">
        <v>11310.414307878293</v>
      </c>
      <c r="D31" s="36">
        <v>12014.912377266814</v>
      </c>
      <c r="E31" s="36">
        <v>19463.666679419461</v>
      </c>
      <c r="F31" s="36">
        <v>19455.877442696172</v>
      </c>
      <c r="G31" s="36">
        <v>43553.030509609976</v>
      </c>
      <c r="H31" s="36">
        <v>55096.25740000001</v>
      </c>
      <c r="I31" s="36">
        <v>56406.394079999998</v>
      </c>
      <c r="J31" s="36">
        <f>'08.2 TRANSF. CANON'!J29+'08.3 REGALIAS MINERAS'!J30+'08.4 DER. VIGENCIA PENALIDAD'!J31</f>
        <v>68215.5</v>
      </c>
      <c r="K31" s="36">
        <f>'08.2 TRANSF. CANON'!K29+'08.3 REGALIAS MINERAS'!K30+'08.4 DER. VIGENCIA PENALIDAD'!K31</f>
        <v>35778.5</v>
      </c>
    </row>
    <row r="32" spans="1:11">
      <c r="A32" s="33" t="s">
        <v>111</v>
      </c>
      <c r="B32" s="36">
        <v>92841.375</v>
      </c>
      <c r="C32" s="36">
        <v>28699.609274904571</v>
      </c>
      <c r="D32" s="36">
        <v>25915.892184152653</v>
      </c>
      <c r="E32" s="36">
        <v>46904.923492221176</v>
      </c>
      <c r="F32" s="36">
        <v>35251.343504267919</v>
      </c>
      <c r="G32" s="36">
        <v>74048.562939078285</v>
      </c>
      <c r="H32" s="36">
        <v>37294.849779999997</v>
      </c>
      <c r="I32" s="36">
        <v>40275</v>
      </c>
      <c r="J32" s="36">
        <f>'08.2 TRANSF. CANON'!J30+'08.3 REGALIAS MINERAS'!J31+'08.4 DER. VIGENCIA PENALIDAD'!J32</f>
        <v>20881.832200000001</v>
      </c>
      <c r="K32" s="36">
        <f>'08.2 TRANSF. CANON'!K30+'08.3 REGALIAS MINERAS'!K31+'08.4 DER. VIGENCIA PENALIDAD'!K32</f>
        <v>0</v>
      </c>
    </row>
    <row r="33" spans="1:11">
      <c r="A33" s="33"/>
      <c r="B33" s="36"/>
      <c r="C33" s="36"/>
      <c r="D33" s="36"/>
      <c r="E33" s="36"/>
      <c r="F33" s="36"/>
      <c r="G33" s="36"/>
      <c r="H33" s="36"/>
      <c r="I33" s="10"/>
      <c r="J33" s="10"/>
      <c r="K33" s="10"/>
    </row>
    <row r="34" spans="1:11">
      <c r="A34" s="35" t="s">
        <v>112</v>
      </c>
      <c r="B34" s="37">
        <f t="shared" ref="B34:H34" si="0">SUM(B8:B32)</f>
        <v>5733006464.1572008</v>
      </c>
      <c r="C34" s="37">
        <f t="shared" si="0"/>
        <v>5028011252.9445906</v>
      </c>
      <c r="D34" s="37">
        <f t="shared" si="0"/>
        <v>3858728665.0702405</v>
      </c>
      <c r="E34" s="37">
        <f t="shared" si="0"/>
        <v>3798964241.4584179</v>
      </c>
      <c r="F34" s="37">
        <f t="shared" si="0"/>
        <v>5131745343.7070303</v>
      </c>
      <c r="G34" s="37">
        <f t="shared" si="0"/>
        <v>5785521249.0958252</v>
      </c>
      <c r="H34" s="37">
        <f t="shared" si="0"/>
        <v>4468435110.5700397</v>
      </c>
      <c r="I34" s="37">
        <f>SUM(I8:I32)</f>
        <v>3597622638.1935205</v>
      </c>
      <c r="J34" s="37">
        <f>SUM(J8:J32)</f>
        <v>2523761446.9697237</v>
      </c>
      <c r="K34" s="37">
        <f>SUM(K8:K32)</f>
        <v>464185023.5764001</v>
      </c>
    </row>
    <row r="35" spans="1:11"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41" spans="1:11">
      <c r="A41" s="5" t="s">
        <v>114</v>
      </c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s="53" customFormat="1">
      <c r="A42" s="50" t="s">
        <v>153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</row>
    <row r="44" spans="1:11">
      <c r="A44" s="11" t="s">
        <v>143</v>
      </c>
    </row>
    <row r="45" spans="1:11">
      <c r="A45" s="10" t="s">
        <v>115</v>
      </c>
    </row>
    <row r="47" spans="1:11">
      <c r="A47" s="11" t="s">
        <v>140</v>
      </c>
    </row>
    <row r="48" spans="1:11">
      <c r="A48" s="10" t="s">
        <v>116</v>
      </c>
    </row>
    <row r="50" spans="1:1">
      <c r="A50" s="10" t="s">
        <v>121</v>
      </c>
    </row>
    <row r="52" spans="1:1">
      <c r="A52" s="11" t="s">
        <v>154</v>
      </c>
    </row>
    <row r="53" spans="1:1">
      <c r="A53" s="10" t="s">
        <v>281</v>
      </c>
    </row>
  </sheetData>
  <pageMargins left="0.7" right="0.7" top="0.75" bottom="0.75" header="0.3" footer="0.3"/>
  <pageSetup scale="56" orientation="landscape" r:id="rId1"/>
  <ignoredErrors>
    <ignoredError sqref="B34:I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23</vt:i4>
      </vt:variant>
    </vt:vector>
  </HeadingPairs>
  <TitlesOfParts>
    <vt:vector size="23" baseType="lpstr">
      <vt:lpstr>01 MACRO</vt:lpstr>
      <vt:lpstr>02.1 PRODUCCION</vt:lpstr>
      <vt:lpstr>02.2 PRODUCCION EMPRESAS</vt:lpstr>
      <vt:lpstr>02.3 PRODUCCION REGIONES</vt:lpstr>
      <vt:lpstr>03.1 EXPORTACIONES MINERAS</vt:lpstr>
      <vt:lpstr>03.2 PARTICP. EXPORTACIONES</vt:lpstr>
      <vt:lpstr>03.3 PRODUCTOS EXPORTACIONES</vt:lpstr>
      <vt:lpstr>04 PRECIOS</vt:lpstr>
      <vt:lpstr>08.1 TRANSF. REGIONES</vt:lpstr>
      <vt:lpstr>08.2 TRANSF. CANON</vt:lpstr>
      <vt:lpstr>08.3 REGALIAS MINERAS</vt:lpstr>
      <vt:lpstr>08.4 DER. VIGENCIA PENALIDAD</vt:lpstr>
      <vt:lpstr>NUEVO REGIMEN TRIBUTARIO</vt:lpstr>
      <vt:lpstr>10 AREAS RESTRINGIDAS</vt:lpstr>
      <vt:lpstr>SALDO IED por SECTOR</vt:lpstr>
      <vt:lpstr>CATASTRO</vt:lpstr>
      <vt:lpstr>INVERSION</vt:lpstr>
      <vt:lpstr>INVERSION - EMPRESAS</vt:lpstr>
      <vt:lpstr>INVERSION REGIONES</vt:lpstr>
      <vt:lpstr>INVERSION - RUBROS</vt:lpstr>
      <vt:lpstr>CARTERA DE PROYECTOS</vt:lpstr>
      <vt:lpstr>EMPLEO</vt:lpstr>
      <vt:lpstr>EMPLEO - REGIONES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Abanto Leon Carlos</dc:creator>
  <cp:lastModifiedBy>Hoyos Huanca Diego Guillermo</cp:lastModifiedBy>
  <cp:lastPrinted>2016-05-30T15:59:47Z</cp:lastPrinted>
  <dcterms:created xsi:type="dcterms:W3CDTF">2014-07-07T20:10:18Z</dcterms:created>
  <dcterms:modified xsi:type="dcterms:W3CDTF">2017-06-28T15:28:23Z</dcterms:modified>
</cp:coreProperties>
</file>